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xl/customProperty24.bin" ContentType="application/vnd.openxmlformats-officedocument.spreadsheetml.customProperty"/>
  <Override PartName="/xl/customProperty25.bin" ContentType="application/vnd.openxmlformats-officedocument.spreadsheetml.customProperty"/>
  <Override PartName="/xl/customProperty26.bin" ContentType="application/vnd.openxmlformats-officedocument.spreadsheetml.customProperty"/>
  <Override PartName="/xl/customProperty27.bin" ContentType="application/vnd.openxmlformats-officedocument.spreadsheetml.customProperty"/>
  <Override PartName="/xl/customProperty28.bin" ContentType="application/vnd.openxmlformats-officedocument.spreadsheetml.customProperty"/>
  <Override PartName="/xl/customProperty29.bin" ContentType="application/vnd.openxmlformats-officedocument.spreadsheetml.customProperty"/>
  <Override PartName="/xl/customProperty30.bin" ContentType="application/vnd.openxmlformats-officedocument.spreadsheetml.customProperty"/>
  <Override PartName="/xl/customProperty31.bin" ContentType="application/vnd.openxmlformats-officedocument.spreadsheetml.customProperty"/>
  <Override PartName="/xl/customProperty32.bin" ContentType="application/vnd.openxmlformats-officedocument.spreadsheetml.customProperty"/>
  <Override PartName="/xl/customProperty33.bin" ContentType="application/vnd.openxmlformats-officedocument.spreadsheetml.customProperty"/>
  <Override PartName="/xl/customProperty34.bin" ContentType="application/vnd.openxmlformats-officedocument.spreadsheetml.customProperty"/>
  <Override PartName="/xl/customProperty35.bin" ContentType="application/vnd.openxmlformats-officedocument.spreadsheetml.customProperty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ustomProperty36.bin" ContentType="application/vnd.openxmlformats-officedocument.spreadsheetml.customProperty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ustomProperty37.bin" ContentType="application/vnd.openxmlformats-officedocument.spreadsheetml.customProperty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filterPrivacy="1"/>
  <xr:revisionPtr revIDLastSave="0" documentId="8_{B799A8A3-C2D2-41CF-8348-B779A92A9BD7}" xr6:coauthVersionLast="47" xr6:coauthVersionMax="47" xr10:uidLastSave="{00000000-0000-0000-0000-000000000000}"/>
  <bookViews>
    <workbookView xWindow="33720" yWindow="-120" windowWidth="29040" windowHeight="15720" tabRatio="808" firstSheet="1" activeTab="1" xr2:uid="{00000000-000D-0000-FFFF-FFFF00000000}"/>
  </bookViews>
  <sheets>
    <sheet name="CLEAR_SHEET" sheetId="1" state="hidden" r:id="rId1"/>
    <sheet name="Cover" sheetId="2" r:id="rId2"/>
    <sheet name="Contents" sheetId="3" r:id="rId3"/>
    <sheet name="InpS" sheetId="5" r:id="rId4"/>
    <sheet name="Time" sheetId="6" r:id="rId5"/>
    <sheet name="Totex" sheetId="7" r:id="rId6"/>
    <sheet name="RCV" sheetId="8" r:id="rId7"/>
    <sheet name="Wholesale" sheetId="9" r:id="rId8"/>
    <sheet name="Wholesale reconciliation" sheetId="10" r:id="rId9"/>
    <sheet name="Other wholesale items" sheetId="11" r:id="rId10"/>
    <sheet name="Cost to serve" sheetId="12" r:id="rId11"/>
    <sheet name="Customer number impacts" sheetId="13" r:id="rId12"/>
    <sheet name="Breakdown by costs" sheetId="14" r:id="rId13"/>
    <sheet name="OBXValues" sheetId="16" r:id="rId14"/>
    <sheet name="Total bill impacts" sheetId="15" r:id="rId15"/>
    <sheet name="Bill impact waterfall" sheetId="17" r:id="rId16"/>
    <sheet name="Bill impact waterfall (costs)" sheetId="18" r:id="rId17"/>
    <sheet name="PowerBi table" sheetId="19" r:id="rId18"/>
  </sheets>
  <definedNames>
    <definedName name="Adjustment_factor" xml:space="preserve"> Wholesale!$F$44</definedName>
    <definedName name="Average_adjustment_factor" xml:space="preserve"> Totex!$F$73</definedName>
    <definedName name="Average_PAYG_bill_impact" xml:space="preserve"> Totex!$F$86</definedName>
    <definedName name="Average_PAYG_PR19" xml:space="preserve"> Totex!$F$17</definedName>
    <definedName name="Average_PAYG_PR24" xml:space="preserve"> InpS!$F$18</definedName>
    <definedName name="Average_PAYG_variance" xml:space="preserve"> Totex!$F$23</definedName>
    <definedName name="Average_profiled_allowed_revenue_PR19" xml:space="preserve"> Totex!$F$59</definedName>
    <definedName name="Average_profiled_allowed_revenue_PR24" xml:space="preserve"> InpS!$F$20</definedName>
    <definedName name="Average_profiled_allowed_revenues_variance_per_customer" xml:space="preserve"> Totex!$F$67</definedName>
    <definedName name="Average_RCV_PR19" xml:space="preserve"> RCV!$F$11</definedName>
    <definedName name="Average_RCV_PR24" xml:space="preserve"> InpS!$F$27</definedName>
    <definedName name="Average_totex_increase__decrease_" xml:space="preserve"> Totex!$F$93</definedName>
    <definedName name="Average_totex_PR19" xml:space="preserve"> Totex!$F$11</definedName>
    <definedName name="Average_totex_PR24" xml:space="preserve"> InpS!$F$16</definedName>
    <definedName name="Base_expenditure" xml:space="preserve"> 'Breakdown by costs'!$F$155</definedName>
    <definedName name="Base_expenditure_delta" xml:space="preserve"> 'Breakdown by costs'!$F$22</definedName>
    <definedName name="Base_expenditure_PR24" xml:space="preserve"> InpS!$F$72</definedName>
    <definedName name="Base_expenditure_proportion" xml:space="preserve"> 'Breakdown by costs'!$F$99</definedName>
    <definedName name="CASE_ACTIVE">#REF!</definedName>
    <definedName name="CASE_COMPARISON">#REF!</definedName>
    <definedName name="Combined_average_bills_PR19__2022_23_prices_" xml:space="preserve"> InpS!$F$38</definedName>
    <definedName name="Combined_average_bills_PR24" xml:space="preserve"> InpS!$F$39</definedName>
    <definedName name="Constants">InpS!$F$1</definedName>
    <definedName name="Contract_year">Time!$J$23:$S$23</definedName>
    <definedName name="Costs_impact" xml:space="preserve"> 'Breakdown by costs'!$F$13</definedName>
    <definedName name="CPIH_2017_18" xml:space="preserve"> InpS!$F$31</definedName>
    <definedName name="CPIH_2022_23" xml:space="preserve"> InpS!$F$32</definedName>
    <definedName name="CPIH_factor" xml:space="preserve"> Wholesale!$F$11</definedName>
    <definedName name="Customer_numbers___retail_apportionment" xml:space="preserve"> 'Customer number impacts'!$F$25</definedName>
    <definedName name="Effective_average_PAYG_rate_PR19" xml:space="preserve"> Totex!$F$29</definedName>
    <definedName name="Effective_average_PAYG_rate_PR24" xml:space="preserve"> Totex!$F$35</definedName>
    <definedName name="Effective_average_PAYG_rate_variance" xml:space="preserve"> Totex!$F$41</definedName>
    <definedName name="Effective_run_off_rate_PR19" xml:space="preserve"> RCV!$F$29</definedName>
    <definedName name="Effective_run_off_rate_PR24" xml:space="preserve"> RCV!$F$35</definedName>
    <definedName name="Effective_run_off_rate_variance" xml:space="preserve"> RCV!$F$41</definedName>
    <definedName name="Environmental" xml:space="preserve"> 'Breakdown by costs'!$F$191</definedName>
    <definedName name="Environmental_delta" xml:space="preserve"> 'Breakdown by costs'!$F$64</definedName>
    <definedName name="Environmental_PR24" xml:space="preserve"> InpS!$F$84</definedName>
    <definedName name="Environmental_proportion" xml:space="preserve"> 'Breakdown by costs'!$F$135</definedName>
    <definedName name="ExampleInputRow">#REF!</definedName>
    <definedName name="Final_Impact_of_PAYG_rate_change" xml:space="preserve"> Totex!$F$112</definedName>
    <definedName name="Final_profiled_allowed_revenues_PR24" xml:space="preserve"> InpS!$F$35</definedName>
    <definedName name="Final_return_on_capital_PR19" xml:space="preserve"> Wholesale!$F$52</definedName>
    <definedName name="Final_return_on_capital_PR24" xml:space="preserve"> InpS!$F$37</definedName>
    <definedName name="Financial_year_end_month" xml:space="preserve"> InpS!$F$11</definedName>
    <definedName name="FirstRow">InpS!$A$7</definedName>
    <definedName name="FirstTime">InpS!$J$1</definedName>
    <definedName name="Housing_apportionment_per_customer_PR19" xml:space="preserve"> 'Customer number impacts'!$F$11</definedName>
    <definedName name="Housing_apportionment_per_customer_PR24" xml:space="preserve"> 'Customer number impacts'!$F$17</definedName>
    <definedName name="Housing_apportionment_PR19" xml:space="preserve"> InpS!$F$57</definedName>
    <definedName name="Housing_apportionment_PR24" xml:space="preserve"> InpS!$F$58</definedName>
    <definedName name="Impact_of_average_PAYG_rates" xml:space="preserve"> Totex!$F$47</definedName>
    <definedName name="Impact_of_average_totex_change" xml:space="preserve"> Totex!$F$53</definedName>
    <definedName name="Impact_of_increased_RCV" xml:space="preserve"> RCV!$F$53</definedName>
    <definedName name="Impact_of_run_off_rates" xml:space="preserve"> RCV!$F$47</definedName>
    <definedName name="Label">InpS!$E$1</definedName>
    <definedName name="MasterALERT" localSheetId="12">'Breakdown by costs'!$F$3</definedName>
    <definedName name="MasterALERT" localSheetId="10">'Cost to serve'!$F$3</definedName>
    <definedName name="MasterALERT" localSheetId="11">'Customer number impacts'!$F$3</definedName>
    <definedName name="MasterALERT" localSheetId="3">InpS!$F$3</definedName>
    <definedName name="MasterALERT" localSheetId="13">OBXValues!$F$3</definedName>
    <definedName name="MasterALERT" localSheetId="9">'Other wholesale items'!$F$3</definedName>
    <definedName name="MasterALERT" localSheetId="6">RCV!$F$3</definedName>
    <definedName name="MasterALERT" localSheetId="4">Time!$F$3</definedName>
    <definedName name="MasterALERT" localSheetId="14">'Total bill impacts'!$F$3</definedName>
    <definedName name="MasterALERT" localSheetId="5">Totex!$F$3</definedName>
    <definedName name="MasterALERT" localSheetId="7">Wholesale!$F$3</definedName>
    <definedName name="MasterALERT" localSheetId="8">'Wholesale reconciliation'!$F$3</definedName>
    <definedName name="MasterCHK" localSheetId="12">'Breakdown by costs'!$F$2</definedName>
    <definedName name="MasterCHK" localSheetId="10">'Cost to serve'!$F$2</definedName>
    <definedName name="MasterCHK" localSheetId="11">'Customer number impacts'!$F$2</definedName>
    <definedName name="MasterCHK" localSheetId="3">InpS!$F$2</definedName>
    <definedName name="MasterCHK" localSheetId="13">OBXValues!$F$2</definedName>
    <definedName name="MasterCHK" localSheetId="9">'Other wholesale items'!$F$2</definedName>
    <definedName name="MasterCHK" localSheetId="6">RCV!$F$2</definedName>
    <definedName name="MasterCHK" localSheetId="4">Time!$F$2</definedName>
    <definedName name="MasterCHK" localSheetId="14">'Total bill impacts'!$F$2</definedName>
    <definedName name="MasterCHK" localSheetId="5">Totex!$F$2</definedName>
    <definedName name="MasterCHK" localSheetId="7">Wholesale!$F$2</definedName>
    <definedName name="MasterCHK" localSheetId="8">'Wholesale reconciliation'!$F$2</definedName>
    <definedName name="Model_period_end">Time!$J$13:$S$13</definedName>
    <definedName name="Model_period_start">Time!$J$34:$S$34</definedName>
    <definedName name="Months_per_period" xml:space="preserve"> InpS!$F$93</definedName>
    <definedName name="Net_zero" xml:space="preserve"> 'Breakdown by costs'!$F$179</definedName>
    <definedName name="Net_zero_delta" xml:space="preserve"> 'Breakdown by costs'!$F$50</definedName>
    <definedName name="Net_zero_PR24" xml:space="preserve"> InpS!$F$80</definedName>
    <definedName name="Net_zero_proportion" xml:space="preserve"> 'Breakdown by costs'!$F$123</definedName>
    <definedName name="Number_of_metered_households_PR19" xml:space="preserve"> InpS!$F$59</definedName>
    <definedName name="Number_of_metered_households_PR24" xml:space="preserve"> InpS!$F$61</definedName>
    <definedName name="Number_of_unmetered_households_PR19" xml:space="preserve"> InpS!$F$60</definedName>
    <definedName name="Number_of_unmetered_households_PR24" xml:space="preserve"> InpS!$F$62</definedName>
    <definedName name="Nutrient_removal" xml:space="preserve"> 'Breakdown by costs'!$F$167</definedName>
    <definedName name="Nutrient_removal_delta" xml:space="preserve"> 'Breakdown by costs'!$F$36</definedName>
    <definedName name="Nutrient_removal_PR24" xml:space="preserve"> InpS!$F$76</definedName>
    <definedName name="Nutrient_removal_proportion" xml:space="preserve"> 'Breakdown by costs'!$F$111</definedName>
    <definedName name="Other" xml:space="preserve"> 'Other wholesale items'!$F$93</definedName>
    <definedName name="Other_enhancement_costs" xml:space="preserve"> 'Breakdown by costs'!$F$203</definedName>
    <definedName name="Other_enhancement_costs_delta" xml:space="preserve"> 'Breakdown by costs'!$F$78</definedName>
    <definedName name="Other_enhancement_costs_PR24" xml:space="preserve"> InpS!$F$88</definedName>
    <definedName name="Other_enhancement_costs_proportion" xml:space="preserve"> 'Breakdown by costs'!$F$147</definedName>
    <definedName name="Other_environmental" xml:space="preserve"> 'Breakdown by costs'!$F$197</definedName>
    <definedName name="Other_environmental_delta" xml:space="preserve"> 'Breakdown by costs'!$F$71</definedName>
    <definedName name="Other_environmental_PR24" xml:space="preserve"> InpS!$F$86</definedName>
    <definedName name="Other_environmental_proportion" xml:space="preserve"> 'Breakdown by costs'!$F$141</definedName>
    <definedName name="Other_wholesale_items" xml:space="preserve"> 'Other wholesale items'!$F$81</definedName>
    <definedName name="PAYG_bill_impact" xml:space="preserve"> Totex!$F$106</definedName>
    <definedName name="Pension_deficit_repair_allowance" xml:space="preserve"> 'Other wholesale items'!$F$27</definedName>
    <definedName name="Pension_deficit_repair_allowance_PR19" xml:space="preserve"> 'Other wholesale items'!$F$13</definedName>
    <definedName name="Pension_deficit_repair_allowance_PR24" xml:space="preserve"> InpS!$F$49</definedName>
    <definedName name="Period_number">Time!$J$27:$S$27</definedName>
    <definedName name="Post_financeability_adjustment_PR19" xml:space="preserve"> 'Wholesale reconciliation'!$F$11</definedName>
    <definedName name="Post_financeability_adjustment_PR24" xml:space="preserve"> InpS!$F$44</definedName>
    <definedName name="Pre_adjustment_average_PAYG_bill_impact" xml:space="preserve"> Totex!$F$80</definedName>
    <definedName name="Pre_adjustment_PAYG_bill_impact" xml:space="preserve"> Totex!$F$100</definedName>
    <definedName name="Pre_adjustment_Pension_deficit_repair_allowance" xml:space="preserve"> 'Other wholesale items'!$F$21</definedName>
    <definedName name="Pre_adjustment_revenue_profiling" xml:space="preserve"> 'Other wholesale items'!$F$65</definedName>
    <definedName name="Pre_adjustment_run_off_bill_impact" xml:space="preserve"> RCV!$F$60</definedName>
    <definedName name="Pre_adjustment_tax" xml:space="preserve"> 'Other wholesale items'!$F$43</definedName>
    <definedName name="Pre_adjustment_WACC" xml:space="preserve"> Wholesale!$F$60</definedName>
    <definedName name="Pre_adjustment_wholesale_reconciliation" xml:space="preserve"> 'Wholesale reconciliation'!$F$19</definedName>
    <definedName name="Pre_inflation_average_PAYG_PR19" xml:space="preserve"> InpS!$F$17</definedName>
    <definedName name="Pre_inflation_average_profiled_allowed_revenue_PR19" xml:space="preserve"> InpS!$F$19</definedName>
    <definedName name="Pre_inflation_average_RCV_PR19" xml:space="preserve"> InpS!$F$26</definedName>
    <definedName name="Pre_inflation_average_totex_PR19" xml:space="preserve"> InpS!$F$15</definedName>
    <definedName name="Pre_inflation_base_expenditure_PR19" xml:space="preserve"> InpS!$F$71</definedName>
    <definedName name="Pre_inflation_environmental_PR19" xml:space="preserve"> InpS!$F$83</definedName>
    <definedName name="Pre_inflation_final_profiled_allowed_revenues_PR19" xml:space="preserve"> InpS!$F$34</definedName>
    <definedName name="Pre_inflation_final_return_on_capital_PR19" xml:space="preserve"> InpS!$F$36</definedName>
    <definedName name="Pre_inflation_net_zero_PR19" xml:space="preserve"> InpS!$F$79</definedName>
    <definedName name="Pre_inflation_nutrient_removal_PR19" xml:space="preserve"> InpS!$F$75</definedName>
    <definedName name="Pre_inflation_other_enhancement_costs_PR19" xml:space="preserve"> InpS!$F$87</definedName>
    <definedName name="Pre_inflation_other_environmental_PR19" xml:space="preserve"> InpS!$F$85</definedName>
    <definedName name="Pre_inflation_pension_deficit_repair_allowance_PR19" xml:space="preserve"> InpS!$F$48</definedName>
    <definedName name="Pre_inflation_post_financeability_adjustment_PR19" xml:space="preserve"> InpS!$F$43</definedName>
    <definedName name="Pre_inflation_resilience_PR19" xml:space="preserve"> InpS!$F$77</definedName>
    <definedName name="Pre_inflation_revenue_profiling_PR19" xml:space="preserve"> InpS!$F$52</definedName>
    <definedName name="Pre_inflation_run_off_PR19" xml:space="preserve"> InpS!$F$24</definedName>
    <definedName name="Pre_inflation_storm_overflows_PR19" xml:space="preserve"> InpS!$F$73</definedName>
    <definedName name="Pre_inflation_tax_PR19" xml:space="preserve"> InpS!$F$50</definedName>
    <definedName name="Pre_inflation_WRMP_PR19" xml:space="preserve"> InpS!$F$81</definedName>
    <definedName name="Profiled_allowed_revenues_per_customer" xml:space="preserve"> Wholesale!$F$38</definedName>
    <definedName name="Profiled_allowed_revenues_PR19" xml:space="preserve"> Wholesale!$F$30</definedName>
    <definedName name="RCV" xml:space="preserve"> RCV!$F$73</definedName>
    <definedName name="ReportBarFormat">Contents!$A$5</definedName>
    <definedName name="Resilience" xml:space="preserve"> 'Breakdown by costs'!$F$173</definedName>
    <definedName name="Resilience_delta" xml:space="preserve"> 'Breakdown by costs'!$F$43</definedName>
    <definedName name="Resilience_PR24" xml:space="preserve"> InpS!$F$78</definedName>
    <definedName name="Resilience_proportion" xml:space="preserve"> 'Breakdown by costs'!$F$117</definedName>
    <definedName name="Retail_cost_to_serve" xml:space="preserve"> 'Cost to serve'!$F$37</definedName>
    <definedName name="Retail_revenue_per_customer_PR19" xml:space="preserve"> 'Cost to serve'!$F$24</definedName>
    <definedName name="Retail_revenue_per_customer_PR24" xml:space="preserve"> 'Cost to serve'!$F$31</definedName>
    <definedName name="Revenue_profiling" xml:space="preserve"> 'Other wholesale items'!$F$71</definedName>
    <definedName name="Revenue_profiling_PR19" xml:space="preserve"> 'Other wholesale items'!$F$57</definedName>
    <definedName name="Revenue_profiling_PR24" xml:space="preserve"> InpS!$F$53</definedName>
    <definedName name="Run_off_bill_impact" xml:space="preserve"> RCV!$F$66</definedName>
    <definedName name="Run_off_PR19" xml:space="preserve"> RCV!$F$17</definedName>
    <definedName name="Run_off_PR24" xml:space="preserve"> InpS!$F$25</definedName>
    <definedName name="Run_off_rates" xml:space="preserve"> RCV!$F$80</definedName>
    <definedName name="Run_off_variance" xml:space="preserve"> RCV!$F$23</definedName>
    <definedName name="scenario">#REF!</definedName>
    <definedName name="ScenarioPointer">#REF!</definedName>
    <definedName name="SensitivityInputs">#REF!</definedName>
    <definedName name="Start_date" xml:space="preserve"> InpS!$F$10</definedName>
    <definedName name="Storm_overflows" xml:space="preserve"> 'Breakdown by costs'!$F$161</definedName>
    <definedName name="Storm_overflows_delta" xml:space="preserve"> 'Breakdown by costs'!$F$29</definedName>
    <definedName name="Storm_overflows_PR24" xml:space="preserve"> InpS!$F$74</definedName>
    <definedName name="Storm_overflows_proportion" xml:space="preserve"> 'Breakdown by costs'!$F$105</definedName>
    <definedName name="Tax" xml:space="preserve"> 'Other wholesale items'!$F$49</definedName>
    <definedName name="Tax_PR19" xml:space="preserve"> 'Other wholesale items'!$F$35</definedName>
    <definedName name="Tax_PR24" xml:space="preserve"> InpS!$F$51</definedName>
    <definedName name="Timeline_label">Time!$J$18:$S$18</definedName>
    <definedName name="TimeRow">InpS!$A$2</definedName>
    <definedName name="TOCFirstLine">Contents!$A$6</definedName>
    <definedName name="TOCobxBreakdown_by_costs">'Breakdown by costs'!$A$1</definedName>
    <definedName name="TOCobxBreakdown_by_costs.Breakdown_by_costs">'Breakdown by costs'!$A$152</definedName>
    <definedName name="TOCobxBreakdown_by_costs.Cost_deltas">'Breakdown by costs'!$A$18</definedName>
    <definedName name="TOCobxBreakdown_by_costs.Cost_proportions">'Breakdown by costs'!$A$96</definedName>
    <definedName name="TOCobxCost_to_serve">'Cost to serve'!$A$1</definedName>
    <definedName name="TOCobxCustomer_number_impacts">'Customer number impacts'!$A$1</definedName>
    <definedName name="TOCobxInputs">InpS!$A$1</definedName>
    <definedName name="TOCobxInputs.Cost_to_serve">InpS!$A$64</definedName>
    <definedName name="TOCobxInputs.Costs_breakdown">InpS!$A$69</definedName>
    <definedName name="TOCobxInputs.Housing">InpS!$A$55</definedName>
    <definedName name="TOCobxInputs.Model_Constants">InpS!$A$90</definedName>
    <definedName name="TOCobxInputs.Other_wholesale_items">InpS!$A$46</definedName>
    <definedName name="TOCobxInputs.RCV">InpS!$A$22</definedName>
    <definedName name="TOCobxInputs.Totex">InpS!$A$13</definedName>
    <definedName name="TOCobxInputs.Wholesale">InpS!$A$29</definedName>
    <definedName name="TOCobxInputs.Wholesale_reconciliation">InpS!$A$41</definedName>
    <definedName name="TOCobxModel_Checks_and_Alerts">#REF!</definedName>
    <definedName name="TOCobxOther_wholesale_items">'Other wholesale items'!$A$1</definedName>
    <definedName name="TOCobxOther_wholesale_items.Other">'Other wholesale items'!$A$76</definedName>
    <definedName name="TOCobxOther_wholesale_items.Pension_deficit_repair_allowance">'Other wholesale items'!$A$10</definedName>
    <definedName name="TOCobxOther_wholesale_items.Revenue_profiling">'Other wholesale items'!$A$54</definedName>
    <definedName name="TOCobxOther_wholesale_items.Tax">'Other wholesale items'!$A$32</definedName>
    <definedName name="TOCobxRCV">RCV!$A$1</definedName>
    <definedName name="TOCobxTime">Time!$A$1</definedName>
    <definedName name="TOCobxTime.Headers">Time!$A$10</definedName>
    <definedName name="TOCobxTotex">Totex!$A$1</definedName>
    <definedName name="TOCobxUnallocated">#REF!</definedName>
    <definedName name="TOCobxWholesale">Wholesale!$A$1</definedName>
    <definedName name="TOCobxWholesale.WACC">Wholesale!$A$49</definedName>
    <definedName name="TOCobxWholesale_reconciliation">'Wholesale reconciliation'!$A$1</definedName>
    <definedName name="TOCrepobxTotal_bill_impacts_Year">'Total bill impacts'!$A$8</definedName>
    <definedName name="Total_bill_impact" xml:space="preserve"> Wholesale!$F$17</definedName>
    <definedName name="Total_expenditure_category_delta" xml:space="preserve"> 'Breakdown by costs'!$F$91</definedName>
    <definedName name="Total_number_of_households_PR19" xml:space="preserve"> 'Cost to serve'!$F$11</definedName>
    <definedName name="Total_number_of_households_PR24" xml:space="preserve"> 'Cost to serve'!$F$17</definedName>
    <definedName name="Total_retail_revenue_PR19" xml:space="preserve"> InpS!$F$66</definedName>
    <definedName name="Total_retail_revenue_PR24" xml:space="preserve"> InpS!$F$67</definedName>
    <definedName name="Total_wholesale_revenues_PR24" xml:space="preserve"> InpS!$F$33</definedName>
    <definedName name="Totals">InpS!$H$5</definedName>
    <definedName name="Units">InpS!$G$1</definedName>
    <definedName name="Units_in_a_thousand" xml:space="preserve"> InpS!$F$92</definedName>
    <definedName name="WACC" xml:space="preserve"> Wholesale!$F$66</definedName>
    <definedName name="Wholesale_bill_impact" xml:space="preserve"> Wholesale!$F$24</definedName>
    <definedName name="Wholesale_reconciliation_items" xml:space="preserve"> 'Wholesale reconciliation'!$F$25</definedName>
    <definedName name="WRMP" xml:space="preserve"> 'Breakdown by costs'!$F$185</definedName>
    <definedName name="WRMP_delta" xml:space="preserve"> 'Breakdown by costs'!$F$57</definedName>
    <definedName name="WRMP_PR24" xml:space="preserve"> InpS!$F$82</definedName>
    <definedName name="WRMP_proportion" xml:space="preserve"> 'Breakdown by costs'!$F$129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8" l="1"/>
  <c r="F16" i="9" l="1"/>
  <c r="F10" i="16" l="1"/>
  <c r="F26" i="16"/>
  <c r="E41" i="16"/>
  <c r="E40" i="16"/>
  <c r="E39" i="16"/>
  <c r="E38" i="16"/>
  <c r="E37" i="16"/>
  <c r="E36" i="16"/>
  <c r="E35" i="16"/>
  <c r="E34" i="16"/>
  <c r="E33" i="16"/>
  <c r="E32" i="16"/>
  <c r="E31" i="16"/>
  <c r="E30" i="16"/>
  <c r="E29" i="16"/>
  <c r="E28" i="16"/>
  <c r="E27" i="16"/>
  <c r="E26" i="16"/>
  <c r="E20" i="16"/>
  <c r="E19" i="16"/>
  <c r="E18" i="16"/>
  <c r="E17" i="16"/>
  <c r="E16" i="16"/>
  <c r="E15" i="16"/>
  <c r="E14" i="16"/>
  <c r="E13" i="16"/>
  <c r="E12" i="16"/>
  <c r="E11" i="16"/>
  <c r="E10" i="16"/>
  <c r="A1" i="5"/>
  <c r="G58" i="19"/>
  <c r="G57" i="19"/>
  <c r="G56" i="19"/>
  <c r="G55" i="19"/>
  <c r="G54" i="19"/>
  <c r="G53" i="19"/>
  <c r="G52" i="19"/>
  <c r="G51" i="19"/>
  <c r="G50" i="19"/>
  <c r="G49" i="19"/>
  <c r="G48" i="19"/>
  <c r="G47" i="19"/>
  <c r="G46" i="19"/>
  <c r="G45" i="19"/>
  <c r="G44" i="19"/>
  <c r="G43" i="19"/>
  <c r="G42" i="19"/>
  <c r="G41" i="19"/>
  <c r="G40" i="19"/>
  <c r="G39" i="19"/>
  <c r="G37" i="19"/>
  <c r="G34" i="19"/>
  <c r="G33" i="19"/>
  <c r="F31" i="19"/>
  <c r="G29" i="19"/>
  <c r="G27" i="19"/>
  <c r="G25" i="19"/>
  <c r="G23" i="19"/>
  <c r="G21" i="19"/>
  <c r="G19" i="19"/>
  <c r="G17" i="19"/>
  <c r="G15" i="19"/>
  <c r="G14" i="19"/>
  <c r="G12" i="19"/>
  <c r="G10" i="19"/>
  <c r="G8" i="19"/>
  <c r="G6" i="19"/>
  <c r="G4" i="19"/>
  <c r="G3" i="19"/>
  <c r="E2" i="19"/>
  <c r="D4" i="18"/>
  <c r="C4" i="18"/>
  <c r="E1" i="18"/>
  <c r="A1" i="18"/>
  <c r="D4" i="17"/>
  <c r="C4" i="17"/>
  <c r="E1" i="17"/>
  <c r="A1" i="17"/>
  <c r="F1" i="16"/>
  <c r="A1" i="16"/>
  <c r="G21" i="15"/>
  <c r="E21" i="15"/>
  <c r="G20" i="15"/>
  <c r="E20" i="15"/>
  <c r="G18" i="15"/>
  <c r="E18" i="15"/>
  <c r="G17" i="15"/>
  <c r="E17" i="15"/>
  <c r="G15" i="15"/>
  <c r="E15" i="15"/>
  <c r="G13" i="15"/>
  <c r="E13" i="15"/>
  <c r="G12" i="15"/>
  <c r="E12" i="15"/>
  <c r="G10" i="15"/>
  <c r="E10" i="15"/>
  <c r="G9" i="15"/>
  <c r="E9" i="15"/>
  <c r="F1" i="15"/>
  <c r="A1" i="15"/>
  <c r="G202" i="14"/>
  <c r="E202" i="14"/>
  <c r="G201" i="14"/>
  <c r="E201" i="14"/>
  <c r="G196" i="14"/>
  <c r="E196" i="14"/>
  <c r="G195" i="14"/>
  <c r="E195" i="14"/>
  <c r="G190" i="14"/>
  <c r="E190" i="14"/>
  <c r="G189" i="14"/>
  <c r="E189" i="14"/>
  <c r="G184" i="14"/>
  <c r="E184" i="14"/>
  <c r="G183" i="14"/>
  <c r="E183" i="14"/>
  <c r="G178" i="14"/>
  <c r="E178" i="14"/>
  <c r="G177" i="14"/>
  <c r="E177" i="14"/>
  <c r="G172" i="14"/>
  <c r="E172" i="14"/>
  <c r="G171" i="14"/>
  <c r="E171" i="14"/>
  <c r="G166" i="14"/>
  <c r="E166" i="14"/>
  <c r="G165" i="14"/>
  <c r="E165" i="14"/>
  <c r="G160" i="14"/>
  <c r="E160" i="14"/>
  <c r="G159" i="14"/>
  <c r="E159" i="14"/>
  <c r="G154" i="14"/>
  <c r="E154" i="14"/>
  <c r="G153" i="14"/>
  <c r="E153" i="14"/>
  <c r="G146" i="14"/>
  <c r="E146" i="14"/>
  <c r="G145" i="14"/>
  <c r="E145" i="14"/>
  <c r="G140" i="14"/>
  <c r="E140" i="14"/>
  <c r="G139" i="14"/>
  <c r="E139" i="14"/>
  <c r="G134" i="14"/>
  <c r="E134" i="14"/>
  <c r="G133" i="14"/>
  <c r="E133" i="14"/>
  <c r="G128" i="14"/>
  <c r="E128" i="14"/>
  <c r="G127" i="14"/>
  <c r="E127" i="14"/>
  <c r="G122" i="14"/>
  <c r="E122" i="14"/>
  <c r="G121" i="14"/>
  <c r="E121" i="14"/>
  <c r="G116" i="14"/>
  <c r="E116" i="14"/>
  <c r="G115" i="14"/>
  <c r="E115" i="14"/>
  <c r="G110" i="14"/>
  <c r="E110" i="14"/>
  <c r="G109" i="14"/>
  <c r="E109" i="14"/>
  <c r="G104" i="14"/>
  <c r="E104" i="14"/>
  <c r="G103" i="14"/>
  <c r="E103" i="14"/>
  <c r="G98" i="14"/>
  <c r="E98" i="14"/>
  <c r="G97" i="14"/>
  <c r="E97" i="14"/>
  <c r="G90" i="14"/>
  <c r="E90" i="14"/>
  <c r="G89" i="14"/>
  <c r="E89" i="14"/>
  <c r="G88" i="14"/>
  <c r="E88" i="14"/>
  <c r="G87" i="14"/>
  <c r="E87" i="14"/>
  <c r="G86" i="14"/>
  <c r="E86" i="14"/>
  <c r="G85" i="14"/>
  <c r="E85" i="14"/>
  <c r="G84" i="14"/>
  <c r="E84" i="14"/>
  <c r="G83" i="14"/>
  <c r="E83" i="14"/>
  <c r="G82" i="14"/>
  <c r="E82" i="14"/>
  <c r="G77" i="14"/>
  <c r="E77" i="14"/>
  <c r="G76" i="14"/>
  <c r="F76" i="14"/>
  <c r="E76" i="14"/>
  <c r="G75" i="14"/>
  <c r="F75" i="14"/>
  <c r="E75" i="14"/>
  <c r="G70" i="14"/>
  <c r="E70" i="14"/>
  <c r="G69" i="14"/>
  <c r="F69" i="14"/>
  <c r="E69" i="14"/>
  <c r="G68" i="14"/>
  <c r="F68" i="14"/>
  <c r="E68" i="14"/>
  <c r="G63" i="14"/>
  <c r="E63" i="14"/>
  <c r="G62" i="14"/>
  <c r="F62" i="14"/>
  <c r="E62" i="14"/>
  <c r="G61" i="14"/>
  <c r="F61" i="14"/>
  <c r="E61" i="14"/>
  <c r="G56" i="14"/>
  <c r="E56" i="14"/>
  <c r="G55" i="14"/>
  <c r="F55" i="14"/>
  <c r="E55" i="14"/>
  <c r="G54" i="14"/>
  <c r="F54" i="14"/>
  <c r="E54" i="14"/>
  <c r="G49" i="14"/>
  <c r="E49" i="14"/>
  <c r="G48" i="14"/>
  <c r="F48" i="14"/>
  <c r="E48" i="14"/>
  <c r="G47" i="14"/>
  <c r="F47" i="14"/>
  <c r="E47" i="14"/>
  <c r="G42" i="14"/>
  <c r="E42" i="14"/>
  <c r="G41" i="14"/>
  <c r="F41" i="14"/>
  <c r="E41" i="14"/>
  <c r="G40" i="14"/>
  <c r="F40" i="14"/>
  <c r="E40" i="14"/>
  <c r="G35" i="14"/>
  <c r="E35" i="14"/>
  <c r="G34" i="14"/>
  <c r="F34" i="14"/>
  <c r="E34" i="14"/>
  <c r="G33" i="14"/>
  <c r="F33" i="14"/>
  <c r="E33" i="14"/>
  <c r="G28" i="14"/>
  <c r="E28" i="14"/>
  <c r="G27" i="14"/>
  <c r="F27" i="14"/>
  <c r="E27" i="14"/>
  <c r="G26" i="14"/>
  <c r="F26" i="14"/>
  <c r="E26" i="14"/>
  <c r="G21" i="14"/>
  <c r="E21" i="14"/>
  <c r="G20" i="14"/>
  <c r="F20" i="14"/>
  <c r="E20" i="14"/>
  <c r="G19" i="14"/>
  <c r="F19" i="14"/>
  <c r="E19" i="14"/>
  <c r="G12" i="14"/>
  <c r="E12" i="14"/>
  <c r="G11" i="14"/>
  <c r="E11" i="14"/>
  <c r="G10" i="14"/>
  <c r="E10" i="14"/>
  <c r="G9" i="14"/>
  <c r="E9" i="14"/>
  <c r="F1" i="14"/>
  <c r="A1" i="14"/>
  <c r="G24" i="13"/>
  <c r="F24" i="13"/>
  <c r="E24" i="13"/>
  <c r="G23" i="13"/>
  <c r="E23" i="13"/>
  <c r="G22" i="13"/>
  <c r="E22" i="13"/>
  <c r="G21" i="13"/>
  <c r="E21" i="13"/>
  <c r="G16" i="13"/>
  <c r="E16" i="13"/>
  <c r="G15" i="13"/>
  <c r="E15" i="13"/>
  <c r="G10" i="13"/>
  <c r="E10" i="13"/>
  <c r="G9" i="13"/>
  <c r="F9" i="13"/>
  <c r="E9" i="13"/>
  <c r="F1" i="13"/>
  <c r="A1" i="13"/>
  <c r="G36" i="12"/>
  <c r="E36" i="12"/>
  <c r="G35" i="12"/>
  <c r="E35" i="12"/>
  <c r="G30" i="12"/>
  <c r="F30" i="12"/>
  <c r="E30" i="12"/>
  <c r="G29" i="12"/>
  <c r="E29" i="12"/>
  <c r="G28" i="12"/>
  <c r="E28" i="12"/>
  <c r="G23" i="12"/>
  <c r="F23" i="12"/>
  <c r="E23" i="12"/>
  <c r="G22" i="12"/>
  <c r="E22" i="12"/>
  <c r="G21" i="12"/>
  <c r="F21" i="12"/>
  <c r="E21" i="12"/>
  <c r="G16" i="12"/>
  <c r="E16" i="12"/>
  <c r="G15" i="12"/>
  <c r="E15" i="12"/>
  <c r="G10" i="12"/>
  <c r="F10" i="12"/>
  <c r="E10" i="12"/>
  <c r="G9" i="12"/>
  <c r="F9" i="12"/>
  <c r="E9" i="12"/>
  <c r="F1" i="12"/>
  <c r="A1" i="12"/>
  <c r="G92" i="11"/>
  <c r="E92" i="11"/>
  <c r="G91" i="11"/>
  <c r="E91" i="11"/>
  <c r="G90" i="11"/>
  <c r="E90" i="11"/>
  <c r="G89" i="11"/>
  <c r="E89" i="11"/>
  <c r="G88" i="11"/>
  <c r="E88" i="11"/>
  <c r="G87" i="11"/>
  <c r="E87" i="11"/>
  <c r="G86" i="11"/>
  <c r="E86" i="11"/>
  <c r="G85" i="11"/>
  <c r="E85" i="11"/>
  <c r="G80" i="11"/>
  <c r="E80" i="11"/>
  <c r="G79" i="11"/>
  <c r="E79" i="11"/>
  <c r="G78" i="11"/>
  <c r="E78" i="11"/>
  <c r="G77" i="11"/>
  <c r="E77" i="11"/>
  <c r="G70" i="11"/>
  <c r="E70" i="11"/>
  <c r="G69" i="11"/>
  <c r="E69" i="11"/>
  <c r="G64" i="11"/>
  <c r="F64" i="11"/>
  <c r="E64" i="11"/>
  <c r="G63" i="11"/>
  <c r="E63" i="11"/>
  <c r="G62" i="11"/>
  <c r="E62" i="11"/>
  <c r="G61" i="11"/>
  <c r="E61" i="11"/>
  <c r="G56" i="11"/>
  <c r="E56" i="11"/>
  <c r="G55" i="11"/>
  <c r="F55" i="11"/>
  <c r="E55" i="11"/>
  <c r="G48" i="11"/>
  <c r="E48" i="11"/>
  <c r="G47" i="11"/>
  <c r="E47" i="11"/>
  <c r="G42" i="11"/>
  <c r="F42" i="11"/>
  <c r="E42" i="11"/>
  <c r="G41" i="11"/>
  <c r="E41" i="11"/>
  <c r="G40" i="11"/>
  <c r="E40" i="11"/>
  <c r="G39" i="11"/>
  <c r="E39" i="11"/>
  <c r="G34" i="11"/>
  <c r="E34" i="11"/>
  <c r="G33" i="11"/>
  <c r="F33" i="11"/>
  <c r="E33" i="11"/>
  <c r="G26" i="11"/>
  <c r="E26" i="11"/>
  <c r="G25" i="11"/>
  <c r="E25" i="11"/>
  <c r="G20" i="11"/>
  <c r="F20" i="11"/>
  <c r="E20" i="11"/>
  <c r="G19" i="11"/>
  <c r="E19" i="11"/>
  <c r="G18" i="11"/>
  <c r="E18" i="11"/>
  <c r="G17" i="11"/>
  <c r="E17" i="11"/>
  <c r="G12" i="11"/>
  <c r="E12" i="11"/>
  <c r="G11" i="11"/>
  <c r="F11" i="11"/>
  <c r="E11" i="11"/>
  <c r="F1" i="11"/>
  <c r="A1" i="11"/>
  <c r="G24" i="10"/>
  <c r="E24" i="10"/>
  <c r="G23" i="10"/>
  <c r="E23" i="10"/>
  <c r="G18" i="10"/>
  <c r="F18" i="10"/>
  <c r="E18" i="10"/>
  <c r="G17" i="10"/>
  <c r="E17" i="10"/>
  <c r="G16" i="10"/>
  <c r="E16" i="10"/>
  <c r="G15" i="10"/>
  <c r="E15" i="10"/>
  <c r="G10" i="10"/>
  <c r="E10" i="10"/>
  <c r="G9" i="10"/>
  <c r="F9" i="10"/>
  <c r="E9" i="10"/>
  <c r="F1" i="10"/>
  <c r="A1" i="10"/>
  <c r="G65" i="9"/>
  <c r="E65" i="9"/>
  <c r="G64" i="9"/>
  <c r="E64" i="9"/>
  <c r="G59" i="9"/>
  <c r="F59" i="9"/>
  <c r="E59" i="9"/>
  <c r="G58" i="9"/>
  <c r="E58" i="9"/>
  <c r="G57" i="9"/>
  <c r="E57" i="9"/>
  <c r="G56" i="9"/>
  <c r="E56" i="9"/>
  <c r="G51" i="9"/>
  <c r="E51" i="9"/>
  <c r="G50" i="9"/>
  <c r="F50" i="9"/>
  <c r="E50" i="9"/>
  <c r="G43" i="9"/>
  <c r="E43" i="9"/>
  <c r="G42" i="9"/>
  <c r="E42" i="9"/>
  <c r="G37" i="9"/>
  <c r="F37" i="9"/>
  <c r="E37" i="9"/>
  <c r="G36" i="9"/>
  <c r="E36" i="9"/>
  <c r="G35" i="9"/>
  <c r="E35" i="9"/>
  <c r="G34" i="9"/>
  <c r="E34" i="9"/>
  <c r="G29" i="9"/>
  <c r="E29" i="9"/>
  <c r="G28" i="9"/>
  <c r="F28" i="9"/>
  <c r="E28" i="9"/>
  <c r="G23" i="9"/>
  <c r="E23" i="9"/>
  <c r="G22" i="9"/>
  <c r="E22" i="9"/>
  <c r="G21" i="9"/>
  <c r="E21" i="9"/>
  <c r="G16" i="9"/>
  <c r="E16" i="9"/>
  <c r="G15" i="9"/>
  <c r="E15" i="9"/>
  <c r="G10" i="9"/>
  <c r="F10" i="9"/>
  <c r="E10" i="9"/>
  <c r="G9" i="9"/>
  <c r="F9" i="9"/>
  <c r="E9" i="9"/>
  <c r="F1" i="9"/>
  <c r="A1" i="9"/>
  <c r="G79" i="8"/>
  <c r="E79" i="8"/>
  <c r="G78" i="8"/>
  <c r="E78" i="8"/>
  <c r="G77" i="8"/>
  <c r="E77" i="8"/>
  <c r="G72" i="8"/>
  <c r="E72" i="8"/>
  <c r="G71" i="8"/>
  <c r="E71" i="8"/>
  <c r="G70" i="8"/>
  <c r="E70" i="8"/>
  <c r="G65" i="8"/>
  <c r="E65" i="8"/>
  <c r="G64" i="8"/>
  <c r="E64" i="8"/>
  <c r="G59" i="8"/>
  <c r="F59" i="8"/>
  <c r="E59" i="8"/>
  <c r="G58" i="8"/>
  <c r="E58" i="8"/>
  <c r="G57" i="8"/>
  <c r="E57" i="8"/>
  <c r="G52" i="8"/>
  <c r="E52" i="8"/>
  <c r="G51" i="8"/>
  <c r="E51" i="8"/>
  <c r="G46" i="8"/>
  <c r="E46" i="8"/>
  <c r="G45" i="8"/>
  <c r="E45" i="8"/>
  <c r="G40" i="8"/>
  <c r="E40" i="8"/>
  <c r="G39" i="8"/>
  <c r="E39" i="8"/>
  <c r="G34" i="8"/>
  <c r="E34" i="8"/>
  <c r="G33" i="8"/>
  <c r="E33" i="8"/>
  <c r="G28" i="8"/>
  <c r="E28" i="8"/>
  <c r="G27" i="8"/>
  <c r="E27" i="8"/>
  <c r="G22" i="8"/>
  <c r="E22" i="8"/>
  <c r="G21" i="8"/>
  <c r="E21" i="8"/>
  <c r="G16" i="8"/>
  <c r="E16" i="8"/>
  <c r="G15" i="8"/>
  <c r="F15" i="8"/>
  <c r="E15" i="8"/>
  <c r="G10" i="8"/>
  <c r="E10" i="8"/>
  <c r="G9" i="8"/>
  <c r="E9" i="8"/>
  <c r="F1" i="8"/>
  <c r="A1" i="8"/>
  <c r="G111" i="7"/>
  <c r="E111" i="7"/>
  <c r="G110" i="7"/>
  <c r="E110" i="7"/>
  <c r="G105" i="7"/>
  <c r="E105" i="7"/>
  <c r="G104" i="7"/>
  <c r="E104" i="7"/>
  <c r="G99" i="7"/>
  <c r="F99" i="7"/>
  <c r="E99" i="7"/>
  <c r="G98" i="7"/>
  <c r="E98" i="7"/>
  <c r="G97" i="7"/>
  <c r="E97" i="7"/>
  <c r="G92" i="7"/>
  <c r="E92" i="7"/>
  <c r="G91" i="7"/>
  <c r="E91" i="7"/>
  <c r="G90" i="7"/>
  <c r="E90" i="7"/>
  <c r="G85" i="7"/>
  <c r="E85" i="7"/>
  <c r="G84" i="7"/>
  <c r="E84" i="7"/>
  <c r="G79" i="7"/>
  <c r="F79" i="7"/>
  <c r="E79" i="7"/>
  <c r="G78" i="7"/>
  <c r="E78" i="7"/>
  <c r="G77" i="7"/>
  <c r="E77" i="7"/>
  <c r="G72" i="7"/>
  <c r="E72" i="7"/>
  <c r="G71" i="7"/>
  <c r="E71" i="7"/>
  <c r="G66" i="7"/>
  <c r="F66" i="7"/>
  <c r="E66" i="7"/>
  <c r="G65" i="7"/>
  <c r="E65" i="7"/>
  <c r="G64" i="7"/>
  <c r="E64" i="7"/>
  <c r="G63" i="7"/>
  <c r="E63" i="7"/>
  <c r="G58" i="7"/>
  <c r="E58" i="7"/>
  <c r="G57" i="7"/>
  <c r="F57" i="7"/>
  <c r="E57" i="7"/>
  <c r="G52" i="7"/>
  <c r="E52" i="7"/>
  <c r="G51" i="7"/>
  <c r="E51" i="7"/>
  <c r="G46" i="7"/>
  <c r="E46" i="7"/>
  <c r="G45" i="7"/>
  <c r="E45" i="7"/>
  <c r="G40" i="7"/>
  <c r="E40" i="7"/>
  <c r="G39" i="7"/>
  <c r="E39" i="7"/>
  <c r="G34" i="7"/>
  <c r="E34" i="7"/>
  <c r="G33" i="7"/>
  <c r="E33" i="7"/>
  <c r="G28" i="7"/>
  <c r="E28" i="7"/>
  <c r="G27" i="7"/>
  <c r="E27" i="7"/>
  <c r="G22" i="7"/>
  <c r="E22" i="7"/>
  <c r="G21" i="7"/>
  <c r="E21" i="7"/>
  <c r="G16" i="7"/>
  <c r="E16" i="7"/>
  <c r="G15" i="7"/>
  <c r="F15" i="7"/>
  <c r="E15" i="7"/>
  <c r="G10" i="7"/>
  <c r="E10" i="7"/>
  <c r="G9" i="7"/>
  <c r="F9" i="7"/>
  <c r="E9" i="7"/>
  <c r="F1" i="7"/>
  <c r="A1" i="7"/>
  <c r="I33" i="6"/>
  <c r="H33" i="6"/>
  <c r="G33" i="6"/>
  <c r="F33" i="6"/>
  <c r="E33" i="6"/>
  <c r="G32" i="6"/>
  <c r="F32" i="6"/>
  <c r="E32" i="6"/>
  <c r="G31" i="6"/>
  <c r="F31" i="6"/>
  <c r="E31" i="6"/>
  <c r="J27" i="6"/>
  <c r="J5" i="9" s="1"/>
  <c r="I22" i="6"/>
  <c r="H22" i="6"/>
  <c r="G22" i="6"/>
  <c r="F22" i="6"/>
  <c r="E22" i="6"/>
  <c r="I17" i="6"/>
  <c r="H17" i="6"/>
  <c r="G17" i="6"/>
  <c r="F17" i="6"/>
  <c r="E17" i="6"/>
  <c r="I12" i="6"/>
  <c r="H12" i="6"/>
  <c r="G12" i="6"/>
  <c r="F12" i="6"/>
  <c r="E12" i="6"/>
  <c r="G11" i="6"/>
  <c r="F11" i="6"/>
  <c r="E11" i="6"/>
  <c r="F1" i="6"/>
  <c r="A1" i="6"/>
  <c r="F1" i="5"/>
  <c r="B47" i="3"/>
  <c r="B46" i="3"/>
  <c r="B45" i="3"/>
  <c r="A44" i="3"/>
  <c r="A42" i="3"/>
  <c r="A40" i="3"/>
  <c r="B38" i="3"/>
  <c r="B37" i="3"/>
  <c r="B36" i="3"/>
  <c r="B35" i="3"/>
  <c r="A34" i="3"/>
  <c r="A32" i="3"/>
  <c r="B30" i="3"/>
  <c r="A29" i="3"/>
  <c r="A27" i="3"/>
  <c r="A25" i="3"/>
  <c r="B23" i="3"/>
  <c r="A22" i="3"/>
  <c r="B20" i="3"/>
  <c r="B19" i="3"/>
  <c r="B18" i="3"/>
  <c r="B17" i="3"/>
  <c r="B16" i="3"/>
  <c r="B15" i="3"/>
  <c r="B14" i="3"/>
  <c r="B13" i="3"/>
  <c r="B12" i="3"/>
  <c r="A11" i="3"/>
  <c r="A6" i="3"/>
  <c r="A1" i="3"/>
  <c r="C7" i="2"/>
  <c r="A1" i="2"/>
  <c r="F11" i="9" l="1"/>
  <c r="F56" i="14" s="1"/>
  <c r="F57" i="14" s="1"/>
  <c r="F11" i="12"/>
  <c r="F22" i="12" s="1"/>
  <c r="J22" i="6"/>
  <c r="J23" i="6" s="1"/>
  <c r="J4" i="6" s="1"/>
  <c r="K27" i="6"/>
  <c r="K5" i="7" s="1"/>
  <c r="J17" i="6"/>
  <c r="J18" i="6" s="1"/>
  <c r="K17" i="6"/>
  <c r="K18" i="6" s="1"/>
  <c r="J5" i="7"/>
  <c r="K5" i="6"/>
  <c r="J5" i="5"/>
  <c r="G89" i="19"/>
  <c r="J5" i="10"/>
  <c r="J5" i="12"/>
  <c r="J5" i="6"/>
  <c r="J5" i="15"/>
  <c r="J5" i="14"/>
  <c r="J5" i="13"/>
  <c r="J5" i="11"/>
  <c r="J5" i="8"/>
  <c r="K5" i="5"/>
  <c r="G90" i="19"/>
  <c r="K5" i="15"/>
  <c r="K5" i="13"/>
  <c r="K5" i="14"/>
  <c r="K5" i="12"/>
  <c r="K33" i="6"/>
  <c r="K5" i="11"/>
  <c r="K5" i="8"/>
  <c r="K5" i="10"/>
  <c r="K5" i="9"/>
  <c r="J4" i="7"/>
  <c r="L27" i="6"/>
  <c r="K22" i="6"/>
  <c r="K23" i="6" s="1"/>
  <c r="J33" i="6"/>
  <c r="J34" i="6" s="1"/>
  <c r="G161" i="19" l="1"/>
  <c r="F70" i="14"/>
  <c r="F71" i="14" s="1"/>
  <c r="F140" i="14" s="1"/>
  <c r="F21" i="14"/>
  <c r="G138" i="19"/>
  <c r="F28" i="14"/>
  <c r="F29" i="14" s="1"/>
  <c r="G171" i="19" s="1"/>
  <c r="F12" i="11"/>
  <c r="F13" i="11" s="1"/>
  <c r="G150" i="19" s="1"/>
  <c r="F10" i="7"/>
  <c r="F58" i="7"/>
  <c r="F59" i="7" s="1"/>
  <c r="G117" i="19" s="1"/>
  <c r="F49" i="14"/>
  <c r="F50" i="14" s="1"/>
  <c r="F122" i="14" s="1"/>
  <c r="F77" i="14"/>
  <c r="F78" i="14" s="1"/>
  <c r="G178" i="19" s="1"/>
  <c r="F63" i="14"/>
  <c r="F64" i="14" s="1"/>
  <c r="F88" i="14" s="1"/>
  <c r="F56" i="11"/>
  <c r="F57" i="11" s="1"/>
  <c r="G156" i="19" s="1"/>
  <c r="F42" i="14"/>
  <c r="F43" i="14" s="1"/>
  <c r="F116" i="14" s="1"/>
  <c r="F35" i="14"/>
  <c r="F36" i="14" s="1"/>
  <c r="F110" i="14" s="1"/>
  <c r="F16" i="7"/>
  <c r="F10" i="8"/>
  <c r="F11" i="8" s="1"/>
  <c r="F28" i="8" s="1"/>
  <c r="F16" i="8"/>
  <c r="F17" i="8" s="1"/>
  <c r="G127" i="19" s="1"/>
  <c r="F34" i="11"/>
  <c r="F35" i="11" s="1"/>
  <c r="F40" i="11" s="1"/>
  <c r="F29" i="9"/>
  <c r="F51" i="9"/>
  <c r="F52" i="9" s="1"/>
  <c r="G144" i="19" s="1"/>
  <c r="F10" i="10"/>
  <c r="F11" i="10" s="1"/>
  <c r="G147" i="19" s="1"/>
  <c r="J4" i="11"/>
  <c r="F10" i="13"/>
  <c r="J4" i="13"/>
  <c r="F24" i="12"/>
  <c r="J4" i="8"/>
  <c r="J4" i="14"/>
  <c r="J4" i="15"/>
  <c r="J4" i="9"/>
  <c r="G79" i="19"/>
  <c r="J4" i="10"/>
  <c r="J4" i="5"/>
  <c r="J4" i="12"/>
  <c r="E99" i="19"/>
  <c r="J12" i="6"/>
  <c r="J13" i="6" s="1"/>
  <c r="K4" i="5"/>
  <c r="G80" i="19"/>
  <c r="K4" i="12"/>
  <c r="K4" i="10"/>
  <c r="K4" i="9"/>
  <c r="K4" i="14"/>
  <c r="K4" i="15"/>
  <c r="K4" i="13"/>
  <c r="K4" i="11"/>
  <c r="K4" i="8"/>
  <c r="K4" i="7"/>
  <c r="K4" i="6"/>
  <c r="G153" i="19"/>
  <c r="K3" i="11"/>
  <c r="K3" i="5"/>
  <c r="H70" i="19"/>
  <c r="K3" i="15"/>
  <c r="K3" i="12"/>
  <c r="K3" i="8"/>
  <c r="K3" i="7"/>
  <c r="K3" i="10"/>
  <c r="K3" i="9"/>
  <c r="K3" i="14"/>
  <c r="K3" i="13"/>
  <c r="K3" i="6"/>
  <c r="G175" i="19"/>
  <c r="F128" i="14"/>
  <c r="F87" i="14"/>
  <c r="L5" i="15"/>
  <c r="L5" i="5"/>
  <c r="G91" i="19"/>
  <c r="L33" i="6"/>
  <c r="L22" i="6"/>
  <c r="L23" i="6" s="1"/>
  <c r="L5" i="14"/>
  <c r="L5" i="11"/>
  <c r="L5" i="13"/>
  <c r="L5" i="10"/>
  <c r="L5" i="9"/>
  <c r="L5" i="12"/>
  <c r="M27" i="6"/>
  <c r="L5" i="7"/>
  <c r="L5" i="6"/>
  <c r="L17" i="6"/>
  <c r="L18" i="6" s="1"/>
  <c r="L5" i="8"/>
  <c r="K34" i="6"/>
  <c r="F89" i="14"/>
  <c r="J3" i="14"/>
  <c r="J3" i="12"/>
  <c r="J3" i="5"/>
  <c r="H69" i="19"/>
  <c r="J3" i="11"/>
  <c r="J3" i="15"/>
  <c r="J3" i="8"/>
  <c r="J3" i="10"/>
  <c r="J3" i="9"/>
  <c r="J3" i="13"/>
  <c r="J3" i="7"/>
  <c r="J3" i="6"/>
  <c r="F11" i="7" l="1"/>
  <c r="F28" i="7" s="1"/>
  <c r="F17" i="7"/>
  <c r="F22" i="7" s="1"/>
  <c r="F30" i="9"/>
  <c r="G141" i="19" s="1"/>
  <c r="F22" i="14"/>
  <c r="F82" i="14" s="1"/>
  <c r="G177" i="19"/>
  <c r="F90" i="14"/>
  <c r="F146" i="14"/>
  <c r="F134" i="14"/>
  <c r="F104" i="14"/>
  <c r="G163" i="19"/>
  <c r="F36" i="12"/>
  <c r="F62" i="11"/>
  <c r="F11" i="13"/>
  <c r="F166" i="19" s="1"/>
  <c r="F83" i="14"/>
  <c r="F18" i="11"/>
  <c r="F16" i="10"/>
  <c r="F57" i="9"/>
  <c r="G126" i="19"/>
  <c r="G109" i="19"/>
  <c r="F85" i="14"/>
  <c r="G173" i="19"/>
  <c r="F86" i="14"/>
  <c r="G176" i="19"/>
  <c r="F64" i="7"/>
  <c r="G174" i="19"/>
  <c r="F84" i="14"/>
  <c r="G172" i="19"/>
  <c r="F27" i="8"/>
  <c r="F22" i="8"/>
  <c r="G110" i="19"/>
  <c r="L3" i="5"/>
  <c r="H71" i="19"/>
  <c r="L3" i="15"/>
  <c r="L3" i="13"/>
  <c r="L3" i="12"/>
  <c r="L3" i="8"/>
  <c r="L3" i="7"/>
  <c r="L3" i="10"/>
  <c r="L3" i="9"/>
  <c r="L3" i="14"/>
  <c r="L3" i="11"/>
  <c r="L3" i="6"/>
  <c r="L4" i="5"/>
  <c r="G81" i="19"/>
  <c r="L4" i="12"/>
  <c r="L4" i="10"/>
  <c r="L4" i="6"/>
  <c r="L4" i="14"/>
  <c r="L4" i="15"/>
  <c r="L4" i="13"/>
  <c r="L4" i="11"/>
  <c r="L4" i="8"/>
  <c r="L4" i="7"/>
  <c r="L4" i="9"/>
  <c r="M5" i="15"/>
  <c r="M5" i="5"/>
  <c r="G92" i="19"/>
  <c r="M22" i="6"/>
  <c r="M23" i="6" s="1"/>
  <c r="M5" i="14"/>
  <c r="M5" i="11"/>
  <c r="M5" i="8"/>
  <c r="M5" i="7"/>
  <c r="M5" i="13"/>
  <c r="M5" i="10"/>
  <c r="M5" i="9"/>
  <c r="M5" i="12"/>
  <c r="M5" i="6"/>
  <c r="M17" i="6"/>
  <c r="M18" i="6" s="1"/>
  <c r="M33" i="6"/>
  <c r="N27" i="6"/>
  <c r="L34" i="6"/>
  <c r="E100" i="19"/>
  <c r="K12" i="6"/>
  <c r="K13" i="6" s="1"/>
  <c r="J2" i="15"/>
  <c r="J2" i="5"/>
  <c r="E59" i="19"/>
  <c r="J2" i="11"/>
  <c r="J2" i="12"/>
  <c r="J2" i="14"/>
  <c r="J2" i="13"/>
  <c r="J2" i="10"/>
  <c r="J2" i="9"/>
  <c r="J2" i="7"/>
  <c r="J2" i="6"/>
  <c r="J2" i="8"/>
  <c r="F98" i="14" l="1"/>
  <c r="F35" i="9"/>
  <c r="G170" i="19"/>
  <c r="F27" i="7"/>
  <c r="F29" i="7" s="1"/>
  <c r="F91" i="14"/>
  <c r="F97" i="14" s="1"/>
  <c r="F99" i="14" s="1"/>
  <c r="F29" i="8"/>
  <c r="F129" i="19" s="1"/>
  <c r="F23" i="13"/>
  <c r="F40" i="8"/>
  <c r="M34" i="6"/>
  <c r="M12" i="6" s="1"/>
  <c r="M13" i="6" s="1"/>
  <c r="N5" i="14"/>
  <c r="N5" i="12"/>
  <c r="N5" i="5"/>
  <c r="G93" i="19"/>
  <c r="N5" i="15"/>
  <c r="N17" i="6"/>
  <c r="N18" i="6" s="1"/>
  <c r="N5" i="11"/>
  <c r="N5" i="8"/>
  <c r="N5" i="13"/>
  <c r="N5" i="10"/>
  <c r="N5" i="9"/>
  <c r="N5" i="6"/>
  <c r="N5" i="7"/>
  <c r="N33" i="6"/>
  <c r="O27" i="6"/>
  <c r="N22" i="6"/>
  <c r="N23" i="6" s="1"/>
  <c r="K2" i="15"/>
  <c r="K2" i="5"/>
  <c r="E60" i="19"/>
  <c r="K2" i="11"/>
  <c r="K2" i="12"/>
  <c r="K2" i="14"/>
  <c r="K2" i="8"/>
  <c r="K2" i="13"/>
  <c r="K2" i="10"/>
  <c r="K2" i="9"/>
  <c r="K2" i="7"/>
  <c r="K2" i="6"/>
  <c r="M3" i="5"/>
  <c r="H72" i="19"/>
  <c r="M3" i="12"/>
  <c r="M3" i="15"/>
  <c r="M3" i="10"/>
  <c r="M3" i="9"/>
  <c r="M3" i="14"/>
  <c r="M3" i="13"/>
  <c r="M3" i="11"/>
  <c r="M3" i="7"/>
  <c r="M3" i="8"/>
  <c r="M3" i="6"/>
  <c r="M4" i="5"/>
  <c r="G82" i="19"/>
  <c r="M4" i="15"/>
  <c r="M4" i="13"/>
  <c r="M4" i="14"/>
  <c r="M4" i="11"/>
  <c r="M4" i="8"/>
  <c r="M4" i="12"/>
  <c r="M4" i="10"/>
  <c r="M4" i="9"/>
  <c r="M4" i="7"/>
  <c r="M4" i="6"/>
  <c r="F112" i="19"/>
  <c r="F40" i="7"/>
  <c r="E101" i="19"/>
  <c r="L12" i="6"/>
  <c r="L13" i="6" s="1"/>
  <c r="E102" i="19" l="1"/>
  <c r="F103" i="14"/>
  <c r="F105" i="14" s="1"/>
  <c r="F159" i="14" s="1"/>
  <c r="F127" i="14"/>
  <c r="F129" i="14" s="1"/>
  <c r="F109" i="14"/>
  <c r="F111" i="14" s="1"/>
  <c r="G182" i="19" s="1"/>
  <c r="F145" i="14"/>
  <c r="F147" i="14" s="1"/>
  <c r="F201" i="14" s="1"/>
  <c r="F139" i="14"/>
  <c r="F141" i="14" s="1"/>
  <c r="F195" i="14" s="1"/>
  <c r="F121" i="14"/>
  <c r="F123" i="14" s="1"/>
  <c r="G184" i="19" s="1"/>
  <c r="F115" i="14"/>
  <c r="F117" i="14" s="1"/>
  <c r="F171" i="14" s="1"/>
  <c r="F133" i="14"/>
  <c r="F135" i="14" s="1"/>
  <c r="G186" i="19" s="1"/>
  <c r="G179" i="19"/>
  <c r="N34" i="6"/>
  <c r="E103" i="19" s="1"/>
  <c r="F153" i="14"/>
  <c r="G180" i="19"/>
  <c r="O5" i="11"/>
  <c r="O5" i="5"/>
  <c r="G94" i="19"/>
  <c r="O5" i="15"/>
  <c r="O17" i="6"/>
  <c r="O18" i="6" s="1"/>
  <c r="O5" i="14"/>
  <c r="O5" i="8"/>
  <c r="O5" i="7"/>
  <c r="P27" i="6"/>
  <c r="O5" i="13"/>
  <c r="O5" i="10"/>
  <c r="O5" i="9"/>
  <c r="O5" i="12"/>
  <c r="O5" i="6"/>
  <c r="O33" i="6"/>
  <c r="O34" i="6" s="1"/>
  <c r="O22" i="6"/>
  <c r="O23" i="6" s="1"/>
  <c r="L2" i="14"/>
  <c r="L2" i="12"/>
  <c r="L2" i="5"/>
  <c r="E61" i="19"/>
  <c r="L2" i="8"/>
  <c r="L2" i="13"/>
  <c r="L2" i="10"/>
  <c r="L2" i="9"/>
  <c r="L2" i="15"/>
  <c r="L2" i="11"/>
  <c r="L2" i="7"/>
  <c r="L2" i="6"/>
  <c r="N3" i="5"/>
  <c r="H73" i="19"/>
  <c r="N3" i="15"/>
  <c r="N3" i="10"/>
  <c r="N3" i="14"/>
  <c r="N3" i="6"/>
  <c r="N3" i="13"/>
  <c r="N3" i="11"/>
  <c r="N3" i="12"/>
  <c r="N3" i="8"/>
  <c r="N3" i="9"/>
  <c r="N3" i="7"/>
  <c r="G185" i="19"/>
  <c r="F183" i="14"/>
  <c r="M2" i="11"/>
  <c r="M2" i="5"/>
  <c r="E62" i="19"/>
  <c r="M2" i="15"/>
  <c r="M2" i="12"/>
  <c r="M2" i="14"/>
  <c r="M2" i="8"/>
  <c r="M2" i="7"/>
  <c r="M2" i="13"/>
  <c r="M2" i="10"/>
  <c r="M2" i="9"/>
  <c r="M2" i="6"/>
  <c r="N4" i="15"/>
  <c r="N4" i="5"/>
  <c r="G83" i="19"/>
  <c r="N4" i="14"/>
  <c r="N4" i="13"/>
  <c r="N4" i="11"/>
  <c r="N4" i="12"/>
  <c r="N4" i="10"/>
  <c r="N4" i="9"/>
  <c r="N4" i="8"/>
  <c r="N4" i="7"/>
  <c r="N4" i="6"/>
  <c r="N12" i="6" l="1"/>
  <c r="N13" i="6" s="1"/>
  <c r="E63" i="19" s="1"/>
  <c r="G181" i="19"/>
  <c r="F165" i="14"/>
  <c r="G183" i="19"/>
  <c r="G188" i="19"/>
  <c r="F177" i="14"/>
  <c r="G187" i="19"/>
  <c r="F189" i="14"/>
  <c r="N2" i="5"/>
  <c r="N2" i="15"/>
  <c r="N2" i="13"/>
  <c r="N2" i="12"/>
  <c r="N2" i="14"/>
  <c r="N2" i="8"/>
  <c r="N2" i="7"/>
  <c r="N2" i="10"/>
  <c r="N2" i="11"/>
  <c r="N2" i="6"/>
  <c r="P5" i="5"/>
  <c r="G95" i="19"/>
  <c r="P5" i="15"/>
  <c r="P5" i="13"/>
  <c r="P5" i="14"/>
  <c r="P5" i="8"/>
  <c r="P5" i="7"/>
  <c r="Q27" i="6"/>
  <c r="P5" i="11"/>
  <c r="P5" i="10"/>
  <c r="P5" i="9"/>
  <c r="P5" i="12"/>
  <c r="P17" i="6"/>
  <c r="P18" i="6" s="1"/>
  <c r="P33" i="6"/>
  <c r="P34" i="6" s="1"/>
  <c r="P22" i="6"/>
  <c r="P23" i="6" s="1"/>
  <c r="P5" i="6"/>
  <c r="O4" i="15"/>
  <c r="O4" i="5"/>
  <c r="G84" i="19"/>
  <c r="O4" i="14"/>
  <c r="O4" i="13"/>
  <c r="O4" i="11"/>
  <c r="O4" i="8"/>
  <c r="O4" i="7"/>
  <c r="O4" i="12"/>
  <c r="O4" i="10"/>
  <c r="O4" i="9"/>
  <c r="O4" i="6"/>
  <c r="E104" i="19"/>
  <c r="O12" i="6"/>
  <c r="O13" i="6" s="1"/>
  <c r="O3" i="5"/>
  <c r="H74" i="19"/>
  <c r="O3" i="15"/>
  <c r="O3" i="13"/>
  <c r="O3" i="14"/>
  <c r="O3" i="11"/>
  <c r="O3" i="12"/>
  <c r="O3" i="8"/>
  <c r="O3" i="10"/>
  <c r="O3" i="9"/>
  <c r="O3" i="6"/>
  <c r="O3" i="7"/>
  <c r="N2" i="9" l="1"/>
  <c r="O2" i="5"/>
  <c r="E64" i="19"/>
  <c r="O2" i="14"/>
  <c r="O2" i="10"/>
  <c r="O2" i="9"/>
  <c r="O2" i="13"/>
  <c r="O2" i="15"/>
  <c r="O2" i="11"/>
  <c r="O2" i="12"/>
  <c r="O2" i="6"/>
  <c r="O2" i="8"/>
  <c r="O2" i="7"/>
  <c r="Q5" i="5"/>
  <c r="G96" i="19"/>
  <c r="Q5" i="15"/>
  <c r="Q5" i="14"/>
  <c r="Q5" i="11"/>
  <c r="Q5" i="10"/>
  <c r="Q5" i="9"/>
  <c r="Q5" i="13"/>
  <c r="Q5" i="12"/>
  <c r="Q5" i="7"/>
  <c r="Q17" i="6"/>
  <c r="Q18" i="6" s="1"/>
  <c r="Q33" i="6"/>
  <c r="Q34" i="6" s="1"/>
  <c r="Q22" i="6"/>
  <c r="Q23" i="6" s="1"/>
  <c r="Q5" i="8"/>
  <c r="R27" i="6"/>
  <c r="Q5" i="6"/>
  <c r="P4" i="14"/>
  <c r="P4" i="12"/>
  <c r="P4" i="5"/>
  <c r="G85" i="19"/>
  <c r="P4" i="13"/>
  <c r="P4" i="11"/>
  <c r="P4" i="8"/>
  <c r="P4" i="15"/>
  <c r="P4" i="10"/>
  <c r="P4" i="9"/>
  <c r="P4" i="6"/>
  <c r="P4" i="7"/>
  <c r="E105" i="19"/>
  <c r="P12" i="6"/>
  <c r="P13" i="6" s="1"/>
  <c r="P3" i="15"/>
  <c r="P3" i="5"/>
  <c r="H75" i="19"/>
  <c r="P3" i="14"/>
  <c r="P3" i="13"/>
  <c r="P3" i="11"/>
  <c r="P3" i="12"/>
  <c r="P3" i="10"/>
  <c r="P3" i="9"/>
  <c r="P3" i="6"/>
  <c r="P3" i="8"/>
  <c r="P3" i="7"/>
  <c r="Q4" i="11" l="1"/>
  <c r="Q4" i="5"/>
  <c r="G86" i="19"/>
  <c r="Q4" i="15"/>
  <c r="Q4" i="14"/>
  <c r="Q4" i="13"/>
  <c r="Q4" i="8"/>
  <c r="Q4" i="7"/>
  <c r="Q4" i="10"/>
  <c r="Q4" i="9"/>
  <c r="Q4" i="12"/>
  <c r="Q4" i="6"/>
  <c r="E106" i="19"/>
  <c r="Q12" i="6"/>
  <c r="Q13" i="6" s="1"/>
  <c r="Q3" i="15"/>
  <c r="Q3" i="5"/>
  <c r="H76" i="19"/>
  <c r="Q3" i="13"/>
  <c r="Q3" i="11"/>
  <c r="Q3" i="12"/>
  <c r="Q3" i="8"/>
  <c r="Q3" i="7"/>
  <c r="Q3" i="10"/>
  <c r="Q3" i="9"/>
  <c r="Q3" i="14"/>
  <c r="Q3" i="6"/>
  <c r="P2" i="5"/>
  <c r="E65" i="19"/>
  <c r="P2" i="10"/>
  <c r="P2" i="13"/>
  <c r="P2" i="15"/>
  <c r="P2" i="11"/>
  <c r="P2" i="12"/>
  <c r="P2" i="14"/>
  <c r="P2" i="8"/>
  <c r="P2" i="9"/>
  <c r="P2" i="6"/>
  <c r="P2" i="7"/>
  <c r="R5" i="5"/>
  <c r="G97" i="19"/>
  <c r="R5" i="11"/>
  <c r="R5" i="10"/>
  <c r="R5" i="13"/>
  <c r="R5" i="6"/>
  <c r="R5" i="12"/>
  <c r="R5" i="15"/>
  <c r="R5" i="14"/>
  <c r="R5" i="8"/>
  <c r="R5" i="7"/>
  <c r="R17" i="6"/>
  <c r="R18" i="6" s="1"/>
  <c r="R33" i="6"/>
  <c r="R34" i="6" s="1"/>
  <c r="R22" i="6"/>
  <c r="R23" i="6" s="1"/>
  <c r="R5" i="9"/>
  <c r="S27" i="6"/>
  <c r="Q2" i="5" l="1"/>
  <c r="E66" i="19"/>
  <c r="Q2" i="15"/>
  <c r="Q2" i="13"/>
  <c r="Q2" i="14"/>
  <c r="Q2" i="11"/>
  <c r="Q2" i="12"/>
  <c r="Q2" i="8"/>
  <c r="Q2" i="10"/>
  <c r="Q2" i="9"/>
  <c r="Q2" i="6"/>
  <c r="Q2" i="7"/>
  <c r="S5" i="5"/>
  <c r="G98" i="19"/>
  <c r="S5" i="15"/>
  <c r="S5" i="13"/>
  <c r="S5" i="14"/>
  <c r="S5" i="12"/>
  <c r="S33" i="6"/>
  <c r="S34" i="6" s="1"/>
  <c r="S5" i="8"/>
  <c r="S5" i="11"/>
  <c r="S5" i="10"/>
  <c r="S5" i="9"/>
  <c r="S22" i="6"/>
  <c r="S23" i="6" s="1"/>
  <c r="S5" i="6"/>
  <c r="S5" i="7"/>
  <c r="S17" i="6"/>
  <c r="S18" i="6" s="1"/>
  <c r="R4" i="5"/>
  <c r="G87" i="19"/>
  <c r="R4" i="15"/>
  <c r="R4" i="13"/>
  <c r="R4" i="11"/>
  <c r="R4" i="8"/>
  <c r="R4" i="7"/>
  <c r="R4" i="10"/>
  <c r="R4" i="9"/>
  <c r="R4" i="12"/>
  <c r="R4" i="14"/>
  <c r="R4" i="6"/>
  <c r="E107" i="19"/>
  <c r="R12" i="6"/>
  <c r="R13" i="6" s="1"/>
  <c r="R3" i="14"/>
  <c r="R3" i="12"/>
  <c r="R3" i="5"/>
  <c r="H77" i="19"/>
  <c r="R3" i="13"/>
  <c r="R3" i="11"/>
  <c r="R3" i="8"/>
  <c r="R3" i="10"/>
  <c r="R3" i="9"/>
  <c r="R3" i="15"/>
  <c r="R3" i="7"/>
  <c r="R3" i="6"/>
  <c r="S4" i="5" l="1"/>
  <c r="G88" i="19"/>
  <c r="S4" i="13"/>
  <c r="S4" i="11"/>
  <c r="S4" i="10"/>
  <c r="S4" i="9"/>
  <c r="S4" i="12"/>
  <c r="S4" i="15"/>
  <c r="S4" i="14"/>
  <c r="S4" i="6"/>
  <c r="S4" i="7"/>
  <c r="S4" i="8"/>
  <c r="R2" i="15"/>
  <c r="R2" i="5"/>
  <c r="E67" i="19"/>
  <c r="R2" i="13"/>
  <c r="R2" i="11"/>
  <c r="R2" i="12"/>
  <c r="R2" i="14"/>
  <c r="R2" i="10"/>
  <c r="R2" i="9"/>
  <c r="R2" i="6"/>
  <c r="R2" i="7"/>
  <c r="R2" i="8"/>
  <c r="S3" i="11"/>
  <c r="S3" i="5"/>
  <c r="H78" i="19"/>
  <c r="S3" i="15"/>
  <c r="S3" i="8"/>
  <c r="S3" i="7"/>
  <c r="S3" i="12"/>
  <c r="S3" i="10"/>
  <c r="S3" i="9"/>
  <c r="S3" i="14"/>
  <c r="S3" i="13"/>
  <c r="S3" i="6"/>
  <c r="H18" i="6"/>
  <c r="E108" i="19"/>
  <c r="S12" i="6"/>
  <c r="S13" i="6" s="1"/>
  <c r="S2" i="15" l="1"/>
  <c r="S2" i="5"/>
  <c r="E68" i="19"/>
  <c r="S2" i="11"/>
  <c r="S2" i="12"/>
  <c r="S2" i="8"/>
  <c r="S2" i="7"/>
  <c r="S2" i="14"/>
  <c r="S2" i="10"/>
  <c r="S2" i="9"/>
  <c r="S2" i="13"/>
  <c r="S2" i="6"/>
  <c r="G26" i="19" l="1"/>
  <c r="F17" i="11"/>
  <c r="F46" i="7" l="1"/>
  <c r="G5" i="19"/>
  <c r="F34" i="7"/>
  <c r="G7" i="19" l="1"/>
  <c r="F21" i="7"/>
  <c r="F23" i="7" s="1"/>
  <c r="F97" i="7" s="1"/>
  <c r="F33" i="7"/>
  <c r="F35" i="7" s="1"/>
  <c r="F39" i="7" l="1"/>
  <c r="F41" i="7" s="1"/>
  <c r="F113" i="19"/>
  <c r="F91" i="7"/>
  <c r="G111" i="19"/>
  <c r="F77" i="7"/>
  <c r="F51" i="7"/>
  <c r="F114" i="19" l="1"/>
  <c r="F45" i="7"/>
  <c r="F47" i="7" s="1"/>
  <c r="G115" i="19" l="1"/>
  <c r="F52" i="7"/>
  <c r="F53" i="7" s="1"/>
  <c r="G116" i="19" l="1"/>
  <c r="F90" i="7"/>
  <c r="G13" i="19" l="1"/>
  <c r="F34" i="8"/>
  <c r="F46" i="8"/>
  <c r="F56" i="9" l="1"/>
  <c r="G20" i="19"/>
  <c r="G11" i="19" l="1"/>
  <c r="F33" i="8"/>
  <c r="F35" i="8" s="1"/>
  <c r="F21" i="8"/>
  <c r="F23" i="8" s="1"/>
  <c r="G128" i="19" l="1"/>
  <c r="F57" i="8"/>
  <c r="F78" i="8"/>
  <c r="F71" i="8"/>
  <c r="F51" i="8"/>
  <c r="F130" i="19"/>
  <c r="F39" i="8"/>
  <c r="F41" i="8" s="1"/>
  <c r="F45" i="8" l="1"/>
  <c r="F47" i="8" s="1"/>
  <c r="F131" i="19"/>
  <c r="F52" i="8" l="1"/>
  <c r="F53" i="8" s="1"/>
  <c r="G132" i="19"/>
  <c r="F77" i="8"/>
  <c r="F70" i="8" l="1"/>
  <c r="G133" i="19"/>
  <c r="G24" i="19" l="1"/>
  <c r="F15" i="10"/>
  <c r="F28" i="12" l="1"/>
  <c r="G38" i="19"/>
  <c r="G30" i="19" l="1"/>
  <c r="F61" i="11"/>
  <c r="G28" i="19"/>
  <c r="F39" i="11"/>
  <c r="F21" i="13" l="1"/>
  <c r="G16" i="19" l="1"/>
  <c r="F63" i="7"/>
  <c r="G9" i="19"/>
  <c r="F32" i="19" l="1"/>
  <c r="F15" i="13"/>
  <c r="G18" i="19"/>
  <c r="F34" i="9"/>
  <c r="G36" i="19" l="1"/>
  <c r="F16" i="12"/>
  <c r="G35" i="19"/>
  <c r="F15" i="12"/>
  <c r="F17" i="12" s="1"/>
  <c r="F29" i="12" l="1"/>
  <c r="F31" i="12" s="1"/>
  <c r="F35" i="12" s="1"/>
  <c r="F37" i="12" s="1"/>
  <c r="F16" i="13"/>
  <c r="F17" i="13" s="1"/>
  <c r="F58" i="9"/>
  <c r="F60" i="9" s="1"/>
  <c r="F98" i="7"/>
  <c r="F100" i="7" s="1"/>
  <c r="F104" i="7" s="1"/>
  <c r="F78" i="7"/>
  <c r="F80" i="7" s="1"/>
  <c r="F63" i="11"/>
  <c r="F65" i="11" s="1"/>
  <c r="F65" i="7"/>
  <c r="F67" i="7" s="1"/>
  <c r="G162" i="19"/>
  <c r="F58" i="8"/>
  <c r="F60" i="8" s="1"/>
  <c r="F36" i="9"/>
  <c r="F38" i="9" s="1"/>
  <c r="F17" i="10"/>
  <c r="F19" i="10" s="1"/>
  <c r="F41" i="11"/>
  <c r="F43" i="11" s="1"/>
  <c r="F19" i="11"/>
  <c r="F21" i="11" s="1"/>
  <c r="F72" i="7" l="1"/>
  <c r="G118" i="19"/>
  <c r="G123" i="19"/>
  <c r="F69" i="11"/>
  <c r="G157" i="19"/>
  <c r="F64" i="9"/>
  <c r="G145" i="19"/>
  <c r="F25" i="11"/>
  <c r="G151" i="19"/>
  <c r="G154" i="19"/>
  <c r="F47" i="11"/>
  <c r="F43" i="9"/>
  <c r="G142" i="19"/>
  <c r="F22" i="13"/>
  <c r="F25" i="13" s="1"/>
  <c r="F167" i="19"/>
  <c r="F84" i="7"/>
  <c r="G120" i="19"/>
  <c r="G148" i="19"/>
  <c r="F23" i="10"/>
  <c r="G134" i="19"/>
  <c r="F64" i="8"/>
  <c r="G164" i="19"/>
  <c r="G22" i="19"/>
  <c r="F41" i="16"/>
  <c r="F20" i="16"/>
  <c r="F15" i="9"/>
  <c r="F17" i="9" s="1"/>
  <c r="F19" i="16" l="1"/>
  <c r="C13" i="17" s="1"/>
  <c r="F22" i="9"/>
  <c r="F21" i="15"/>
  <c r="G168" i="19"/>
  <c r="F40" i="16"/>
  <c r="F39" i="16"/>
  <c r="G165" i="19"/>
  <c r="F23" i="9"/>
  <c r="F18" i="16"/>
  <c r="C12" i="17" s="1"/>
  <c r="F20" i="15"/>
  <c r="F21" i="9"/>
  <c r="G139" i="19"/>
  <c r="C17" i="18" l="1"/>
  <c r="C16" i="18"/>
  <c r="F24" i="9"/>
  <c r="F42" i="9" s="1"/>
  <c r="F44" i="9" s="1"/>
  <c r="F71" i="7" l="1"/>
  <c r="F73" i="7" s="1"/>
  <c r="F85" i="7" s="1"/>
  <c r="F86" i="7" s="1"/>
  <c r="F85" i="11"/>
  <c r="G140" i="19"/>
  <c r="F65" i="8"/>
  <c r="F66" i="8" s="1"/>
  <c r="F24" i="10"/>
  <c r="F25" i="10" s="1"/>
  <c r="F65" i="9"/>
  <c r="F66" i="9" s="1"/>
  <c r="F26" i="11"/>
  <c r="F27" i="11" s="1"/>
  <c r="F105" i="7"/>
  <c r="F106" i="7" s="1"/>
  <c r="F110" i="7" s="1"/>
  <c r="F48" i="11"/>
  <c r="F49" i="11" s="1"/>
  <c r="F70" i="11"/>
  <c r="F71" i="11" s="1"/>
  <c r="G143" i="19"/>
  <c r="G119" i="19" l="1"/>
  <c r="F86" i="11"/>
  <c r="G124" i="19"/>
  <c r="F36" i="16"/>
  <c r="F15" i="15"/>
  <c r="G146" i="19"/>
  <c r="F88" i="11"/>
  <c r="F15" i="16"/>
  <c r="C9" i="17" s="1"/>
  <c r="F17" i="15"/>
  <c r="G149" i="19"/>
  <c r="F16" i="16"/>
  <c r="C10" i="17" s="1"/>
  <c r="F91" i="11"/>
  <c r="F37" i="16"/>
  <c r="G158" i="19"/>
  <c r="F92" i="11"/>
  <c r="F79" i="11"/>
  <c r="G121" i="19"/>
  <c r="F92" i="7"/>
  <c r="F93" i="7" s="1"/>
  <c r="F77" i="11"/>
  <c r="G152" i="19"/>
  <c r="F87" i="11"/>
  <c r="F89" i="11"/>
  <c r="F79" i="8"/>
  <c r="F80" i="8" s="1"/>
  <c r="G135" i="19"/>
  <c r="F72" i="8"/>
  <c r="F73" i="8" s="1"/>
  <c r="G155" i="19"/>
  <c r="F78" i="11"/>
  <c r="F90" i="11"/>
  <c r="C14" i="18" l="1"/>
  <c r="C13" i="18"/>
  <c r="G137" i="19"/>
  <c r="F14" i="16"/>
  <c r="C8" i="17" s="1"/>
  <c r="F12" i="14"/>
  <c r="F13" i="15"/>
  <c r="F111" i="7"/>
  <c r="F112" i="7" s="1"/>
  <c r="F9" i="14"/>
  <c r="G122" i="19"/>
  <c r="F9" i="15"/>
  <c r="F11" i="16"/>
  <c r="C5" i="17" s="1"/>
  <c r="F12" i="15"/>
  <c r="F11" i="14"/>
  <c r="G136" i="19"/>
  <c r="F13" i="16"/>
  <c r="C7" i="17" s="1"/>
  <c r="F93" i="11"/>
  <c r="F10" i="14" l="1"/>
  <c r="F13" i="14" s="1"/>
  <c r="F10" i="15"/>
  <c r="F12" i="16"/>
  <c r="C6" i="17" s="1"/>
  <c r="G125" i="19"/>
  <c r="G160" i="19"/>
  <c r="F80" i="11"/>
  <c r="F81" i="11" s="1"/>
  <c r="E5" i="17"/>
  <c r="F5" i="17"/>
  <c r="G5" i="17" s="1"/>
  <c r="I5" i="17"/>
  <c r="H5" i="17" s="1"/>
  <c r="F7" i="17" l="1"/>
  <c r="G7" i="17" s="1"/>
  <c r="I8" i="17"/>
  <c r="H8" i="17" s="1"/>
  <c r="E8" i="17"/>
  <c r="E9" i="17"/>
  <c r="F10" i="17"/>
  <c r="G10" i="17" s="1"/>
  <c r="I9" i="17"/>
  <c r="H9" i="17" s="1"/>
  <c r="E10" i="17"/>
  <c r="I7" i="17"/>
  <c r="H7" i="17" s="1"/>
  <c r="E6" i="17"/>
  <c r="F8" i="17"/>
  <c r="G8" i="17" s="1"/>
  <c r="E7" i="17"/>
  <c r="I10" i="17"/>
  <c r="H10" i="17" s="1"/>
  <c r="F166" i="14"/>
  <c r="F167" i="14" s="1"/>
  <c r="F202" i="14"/>
  <c r="F203" i="14" s="1"/>
  <c r="F196" i="14"/>
  <c r="F197" i="14" s="1"/>
  <c r="F154" i="14"/>
  <c r="F155" i="14" s="1"/>
  <c r="F160" i="14"/>
  <c r="F161" i="14" s="1"/>
  <c r="G169" i="19"/>
  <c r="F172" i="14"/>
  <c r="F173" i="14" s="1"/>
  <c r="F184" i="14"/>
  <c r="F185" i="14" s="1"/>
  <c r="F190" i="14"/>
  <c r="F191" i="14" s="1"/>
  <c r="F178" i="14"/>
  <c r="F179" i="14" s="1"/>
  <c r="F18" i="15"/>
  <c r="F38" i="16"/>
  <c r="G159" i="19"/>
  <c r="F17" i="16"/>
  <c r="C11" i="17" s="1"/>
  <c r="F9" i="17"/>
  <c r="G9" i="17" s="1"/>
  <c r="I6" i="17"/>
  <c r="H6" i="17" s="1"/>
  <c r="F6" i="17"/>
  <c r="G6" i="17" s="1"/>
  <c r="C15" i="18" l="1"/>
  <c r="F13" i="17"/>
  <c r="G13" i="17" s="1"/>
  <c r="I13" i="17"/>
  <c r="H13" i="17" s="1"/>
  <c r="D14" i="17"/>
  <c r="E13" i="17"/>
  <c r="E12" i="17"/>
  <c r="F12" i="17"/>
  <c r="G12" i="17" s="1"/>
  <c r="I12" i="17"/>
  <c r="H12" i="17" s="1"/>
  <c r="F11" i="17"/>
  <c r="G11" i="17" s="1"/>
  <c r="F30" i="16"/>
  <c r="G192" i="19"/>
  <c r="F28" i="16"/>
  <c r="G190" i="19"/>
  <c r="G189" i="19"/>
  <c r="F27" i="16"/>
  <c r="F34" i="16"/>
  <c r="G196" i="19"/>
  <c r="G193" i="19"/>
  <c r="F31" i="16"/>
  <c r="G197" i="19"/>
  <c r="F35" i="16"/>
  <c r="G194" i="19"/>
  <c r="F32" i="16"/>
  <c r="E11" i="17"/>
  <c r="I11" i="17"/>
  <c r="H11" i="17" s="1"/>
  <c r="G195" i="19"/>
  <c r="F33" i="16"/>
  <c r="G191" i="19"/>
  <c r="F29" i="16"/>
  <c r="C7" i="18" l="1"/>
  <c r="C5" i="18"/>
  <c r="E5" i="18" s="1"/>
  <c r="C6" i="18"/>
  <c r="C8" i="18"/>
  <c r="C10" i="18"/>
  <c r="C9" i="18"/>
  <c r="C12" i="18"/>
  <c r="C11" i="18"/>
  <c r="F8" i="18" l="1"/>
  <c r="G8" i="18" s="1"/>
  <c r="F7" i="18"/>
  <c r="G7" i="18" s="1"/>
  <c r="I5" i="18"/>
  <c r="H5" i="18" s="1"/>
  <c r="F5" i="18"/>
  <c r="G5" i="18" s="1"/>
  <c r="I6" i="18"/>
  <c r="H6" i="18" s="1"/>
  <c r="E7" i="18"/>
  <c r="I8" i="18"/>
  <c r="H8" i="18" s="1"/>
  <c r="I7" i="18"/>
  <c r="H7" i="18" s="1"/>
  <c r="F6" i="18"/>
  <c r="G6" i="18" s="1"/>
  <c r="E8" i="18"/>
  <c r="E6" i="18"/>
  <c r="I10" i="18"/>
  <c r="H10" i="18" s="1"/>
  <c r="E11" i="18"/>
  <c r="F15" i="18"/>
  <c r="G15" i="18" s="1"/>
  <c r="E10" i="18"/>
  <c r="E9" i="18"/>
  <c r="I11" i="18"/>
  <c r="H11" i="18" s="1"/>
  <c r="I9" i="18"/>
  <c r="H9" i="18" s="1"/>
  <c r="F9" i="18"/>
  <c r="G9" i="18" s="1"/>
  <c r="I12" i="18"/>
  <c r="H12" i="18" s="1"/>
  <c r="F12" i="18"/>
  <c r="G12" i="18" s="1"/>
  <c r="F17" i="18"/>
  <c r="G17" i="18" s="1"/>
  <c r="E16" i="18"/>
  <c r="E17" i="18"/>
  <c r="E15" i="18"/>
  <c r="F11" i="18"/>
  <c r="G11" i="18" s="1"/>
  <c r="F10" i="18"/>
  <c r="G10" i="18" s="1"/>
  <c r="I16" i="18"/>
  <c r="H16" i="18" s="1"/>
  <c r="I15" i="18"/>
  <c r="H15" i="18" s="1"/>
  <c r="D18" i="18"/>
  <c r="E13" i="18"/>
  <c r="I13" i="18"/>
  <c r="H13" i="18" s="1"/>
  <c r="E14" i="18"/>
  <c r="I17" i="18"/>
  <c r="H17" i="18" s="1"/>
  <c r="F13" i="18"/>
  <c r="G13" i="18" s="1"/>
  <c r="F16" i="18"/>
  <c r="G16" i="18" s="1"/>
  <c r="I14" i="18"/>
  <c r="H14" i="18" s="1"/>
  <c r="E12" i="18"/>
  <c r="F14" i="18"/>
  <c r="G14" i="18" s="1"/>
</calcChain>
</file>

<file path=xl/sharedStrings.xml><?xml version="1.0" encoding="utf-8"?>
<sst xmlns="http://schemas.openxmlformats.org/spreadsheetml/2006/main" count="992" uniqueCount="372">
  <si>
    <t>FOUNTAIN_INSTANCE_URL</t>
  </si>
  <si>
    <t>http://fnttest202:8082/Fountain/rest-services_XLSPF</t>
  </si>
  <si>
    <t>PR24 Bill waterfall model</t>
  </si>
  <si>
    <t>Publication version:</t>
  </si>
  <si>
    <t>Ofwat version:</t>
  </si>
  <si>
    <t>v3.0</t>
  </si>
  <si>
    <t>File name:</t>
  </si>
  <si>
    <t>Date:</t>
  </si>
  <si>
    <t>For enquiries please contact:</t>
  </si>
  <si>
    <t>PR24@ofwat.gov.uk</t>
  </si>
  <si>
    <t>REPORTS</t>
  </si>
  <si>
    <t>Sheet</t>
  </si>
  <si>
    <t>Section</t>
  </si>
  <si>
    <t>Sub-section</t>
  </si>
  <si>
    <t>Model period ending</t>
  </si>
  <si>
    <t>Error chks</t>
  </si>
  <si>
    <t>Timeline label</t>
  </si>
  <si>
    <t>Alerts</t>
  </si>
  <si>
    <t>Contract year</t>
  </si>
  <si>
    <t>Model column counter</t>
  </si>
  <si>
    <t>Constant</t>
  </si>
  <si>
    <t>Unit</t>
  </si>
  <si>
    <t>Total</t>
  </si>
  <si>
    <t>Inputs</t>
  </si>
  <si>
    <t>Start date</t>
  </si>
  <si>
    <t>date</t>
  </si>
  <si>
    <t>Financial year end month</t>
  </si>
  <si>
    <t>Totex</t>
  </si>
  <si>
    <t>Pre-inflation average totex PR19</t>
  </si>
  <si>
    <t>£m</t>
  </si>
  <si>
    <t>Average totex PR24</t>
  </si>
  <si>
    <t>Pre-inflation average PAYG PR19</t>
  </si>
  <si>
    <t>Average PAYG PR24</t>
  </si>
  <si>
    <t>Pre-inflation average profiled allowed revenue PR19</t>
  </si>
  <si>
    <t>Average profiled allowed revenue PR24</t>
  </si>
  <si>
    <t>RCV</t>
  </si>
  <si>
    <t>Pre-inflation run off PR19</t>
  </si>
  <si>
    <t>Run off PR24</t>
  </si>
  <si>
    <t>Pre-inflation average RCV PR19</t>
  </si>
  <si>
    <t>Average RCV PR24</t>
  </si>
  <si>
    <t>Wholesale</t>
  </si>
  <si>
    <t>CPIH 2017-18</t>
  </si>
  <si>
    <t>index</t>
  </si>
  <si>
    <t>CPIH 2022-23</t>
  </si>
  <si>
    <t>Total wholesale revenues PR24</t>
  </si>
  <si>
    <t>Pre-inflation final profiled allowed revenues PR19</t>
  </si>
  <si>
    <t>Final profiled allowed revenues PR24</t>
  </si>
  <si>
    <t>Pre-inflation final return on capital PR19</t>
  </si>
  <si>
    <t>Final return on capital PR24</t>
  </si>
  <si>
    <t>Combined average bills PR19 (2022-23 prices)</t>
  </si>
  <si>
    <t>£ / customer</t>
  </si>
  <si>
    <t>Combined average bills PR24</t>
  </si>
  <si>
    <t>Wholesale reconciliation</t>
  </si>
  <si>
    <t>Pre-inflation post financeability adjustment PR19</t>
  </si>
  <si>
    <t>Post financeability adjustment PR24</t>
  </si>
  <si>
    <t>Other wholesale items</t>
  </si>
  <si>
    <t>Pre-inflation pension deficit repair allowance PR19</t>
  </si>
  <si>
    <t>Pension deficit repair allowance PR24</t>
  </si>
  <si>
    <t>Pre-inflation tax PR19</t>
  </si>
  <si>
    <t>Tax PR24</t>
  </si>
  <si>
    <t>Pre-inflation revenue profiling PR19</t>
  </si>
  <si>
    <t>Revenue profiling PR24</t>
  </si>
  <si>
    <t>Housing</t>
  </si>
  <si>
    <t>Housing apportionment PR19</t>
  </si>
  <si>
    <t>%</t>
  </si>
  <si>
    <t>Housing apportionment PR24</t>
  </si>
  <si>
    <t>Number of metered households PR19</t>
  </si>
  <si>
    <t>000 customers</t>
  </si>
  <si>
    <t>Number of unmetered households PR19</t>
  </si>
  <si>
    <t>Number of metered households PR24</t>
  </si>
  <si>
    <t>Number of unmetered households PR24</t>
  </si>
  <si>
    <t>Cost to serve</t>
  </si>
  <si>
    <t>Total retail revenue PR19</t>
  </si>
  <si>
    <t>Total retail revenue PR24</t>
  </si>
  <si>
    <t>Costs breakdown</t>
  </si>
  <si>
    <t>Pre-inflation base expenditure PR19</t>
  </si>
  <si>
    <t>Base expenditure PR24</t>
  </si>
  <si>
    <t>Pre-inflation storm overflows PR19</t>
  </si>
  <si>
    <t>Storm overflows PR24</t>
  </si>
  <si>
    <t>Pre-inflation nutrient removal PR19</t>
  </si>
  <si>
    <t>Nutrient removal PR24</t>
  </si>
  <si>
    <t>Pre-inflation resilience PR19</t>
  </si>
  <si>
    <t>Resilience PR24</t>
  </si>
  <si>
    <t>Pre-inflation net zero PR19</t>
  </si>
  <si>
    <t>Net zero PR24</t>
  </si>
  <si>
    <t>Pre-inflation WRMP PR19</t>
  </si>
  <si>
    <t>WRMP PR24</t>
  </si>
  <si>
    <t>Pre-inflation environmental PR19</t>
  </si>
  <si>
    <t>Environmental PR24</t>
  </si>
  <si>
    <t>Pre-inflation other environmental PR19</t>
  </si>
  <si>
    <t>Other environmental PR24</t>
  </si>
  <si>
    <t>Pre-inflation other enhancement costs PR19</t>
  </si>
  <si>
    <t>Other enhancement costs PR24</t>
  </si>
  <si>
    <t>Model Constants</t>
  </si>
  <si>
    <t>Units in a thousand</t>
  </si>
  <si>
    <t>units</t>
  </si>
  <si>
    <t>Months per period (Primary)</t>
  </si>
  <si>
    <t>Months</t>
  </si>
  <si>
    <t>END</t>
  </si>
  <si>
    <t>Headers</t>
  </si>
  <si>
    <t>Model period end</t>
  </si>
  <si>
    <t>Counter</t>
  </si>
  <si>
    <t>Period number</t>
  </si>
  <si>
    <t>Model period start</t>
  </si>
  <si>
    <t>Average totex PR19</t>
  </si>
  <si>
    <t>Average PAYG PR19</t>
  </si>
  <si>
    <t>Average PAYG variance</t>
  </si>
  <si>
    <t>Effective average PAYG rate PR19</t>
  </si>
  <si>
    <t>Effective average PAYG rate PR24</t>
  </si>
  <si>
    <t>Effective average PAYG rate variance</t>
  </si>
  <si>
    <t>Impact of average PAYG rates</t>
  </si>
  <si>
    <t>Impact of average totex change</t>
  </si>
  <si>
    <t>Average profiled allowed revenue PR19</t>
  </si>
  <si>
    <t>Average profiled allowed revenues variance per customer</t>
  </si>
  <si>
    <t>Average adjustment factor</t>
  </si>
  <si>
    <t>factor</t>
  </si>
  <si>
    <t>Pre-adjustment average PAYG bill impact</t>
  </si>
  <si>
    <t>Average PAYG bill impact</t>
  </si>
  <si>
    <t>Average totex increase/(decrease)</t>
  </si>
  <si>
    <t>Pre-adjustment PAYG bill impact</t>
  </si>
  <si>
    <t>PAYG bill impact</t>
  </si>
  <si>
    <t>Final Impact of PAYG rate change</t>
  </si>
  <si>
    <t>Average RCV PR19</t>
  </si>
  <si>
    <t>Run off PR19</t>
  </si>
  <si>
    <t>Run off variance</t>
  </si>
  <si>
    <t>Effective run off rate PR19</t>
  </si>
  <si>
    <t>Effective run off rate PR24</t>
  </si>
  <si>
    <t>Effective run off rate variance</t>
  </si>
  <si>
    <t>Impact of run off rates</t>
  </si>
  <si>
    <t>Impact of increased RCV</t>
  </si>
  <si>
    <t>Pre-adjustment run off bill impact</t>
  </si>
  <si>
    <t>Run off bill impact</t>
  </si>
  <si>
    <t>Run-off rates</t>
  </si>
  <si>
    <t>CPIH factor</t>
  </si>
  <si>
    <t>Total bill impact</t>
  </si>
  <si>
    <t>Wholesale bill impact</t>
  </si>
  <si>
    <t>Profiled allowed revenues PR19</t>
  </si>
  <si>
    <t>Profiled allowed revenues per customer</t>
  </si>
  <si>
    <t>Adjustment factor</t>
  </si>
  <si>
    <t>WACC</t>
  </si>
  <si>
    <t>Final return on capital PR19</t>
  </si>
  <si>
    <t>Pre-adjustment WACC</t>
  </si>
  <si>
    <t>Post financeability adjustment PR19</t>
  </si>
  <si>
    <t>Pre-adjustment wholesale reconciliation</t>
  </si>
  <si>
    <t>Wholesale reconciliation items</t>
  </si>
  <si>
    <t>Pension deficit repair allowance</t>
  </si>
  <si>
    <t>Pension deficit repair allowance PR19</t>
  </si>
  <si>
    <t>Pre-adjustment Pension deficit repair allowance</t>
  </si>
  <si>
    <t>Tax</t>
  </si>
  <si>
    <t>Tax PR19</t>
  </si>
  <si>
    <t>Pre-adjustment tax</t>
  </si>
  <si>
    <t>Revenue profiling</t>
  </si>
  <si>
    <t>Revenue profiling PR19</t>
  </si>
  <si>
    <t>Pre-adjustment revenue profiling</t>
  </si>
  <si>
    <t>Other</t>
  </si>
  <si>
    <t>Total number of households PR19</t>
  </si>
  <si>
    <t>Total number of households PR24</t>
  </si>
  <si>
    <t>Retail revenue per customer PR19</t>
  </si>
  <si>
    <t>Retail revenue per customer PR24</t>
  </si>
  <si>
    <t>Retail cost to serve</t>
  </si>
  <si>
    <t>Housing apportionment per customer PR19</t>
  </si>
  <si>
    <t>% / customer</t>
  </si>
  <si>
    <t>Housing apportionment per customer PR24</t>
  </si>
  <si>
    <t>Customer numbers &amp; retail apportionment</t>
  </si>
  <si>
    <t>Costs impact</t>
  </si>
  <si>
    <t>Cost deltas</t>
  </si>
  <si>
    <t>Base expenditure delta</t>
  </si>
  <si>
    <t>Storm overflows delta</t>
  </si>
  <si>
    <t>Nutrient removal delta</t>
  </si>
  <si>
    <t>Resilience delta</t>
  </si>
  <si>
    <t>Net zero delta</t>
  </si>
  <si>
    <t>WRMP delta</t>
  </si>
  <si>
    <t>Environmental delta</t>
  </si>
  <si>
    <t>Other environmental delta</t>
  </si>
  <si>
    <t>Other enhancement costs delta</t>
  </si>
  <si>
    <t>Total expenditure category delta</t>
  </si>
  <si>
    <t>Cost proportions</t>
  </si>
  <si>
    <t>Base expenditure proportion</t>
  </si>
  <si>
    <t>Storm overflows proportion</t>
  </si>
  <si>
    <t>Nutrient removal proportion</t>
  </si>
  <si>
    <t>Resilience proportion</t>
  </si>
  <si>
    <t>Net zero proportion</t>
  </si>
  <si>
    <t>WRMP proportion</t>
  </si>
  <si>
    <t>Environmental proportion</t>
  </si>
  <si>
    <t>Other environmental proportion</t>
  </si>
  <si>
    <t>Other enhancement costs proportion</t>
  </si>
  <si>
    <t>Breakdown by costs</t>
  </si>
  <si>
    <t>Base expenditure</t>
  </si>
  <si>
    <t>Storm overflows</t>
  </si>
  <si>
    <t>Nutrient removal</t>
  </si>
  <si>
    <t>Resilience</t>
  </si>
  <si>
    <t>Net zero</t>
  </si>
  <si>
    <t>WRMP</t>
  </si>
  <si>
    <t>Environmental</t>
  </si>
  <si>
    <t>Other environmental</t>
  </si>
  <si>
    <t>Other enhancement costs</t>
  </si>
  <si>
    <t>Return on capital</t>
  </si>
  <si>
    <t>Other wholesale</t>
  </si>
  <si>
    <t>Retail</t>
  </si>
  <si>
    <t>Bill impact waterfall</t>
  </si>
  <si>
    <t>Bill impact component</t>
  </si>
  <si>
    <t>Bill impact waterfall (costs)</t>
  </si>
  <si>
    <t>Change in bill impact
(£/customer)</t>
  </si>
  <si>
    <t>Initial and final values
(£/customer)</t>
  </si>
  <si>
    <t>Cumulative sum
(£/customer)</t>
  </si>
  <si>
    <t>Combined average bills PR19</t>
  </si>
  <si>
    <t>PAYG rate</t>
  </si>
  <si>
    <t>Net Zero</t>
  </si>
  <si>
    <t>Name</t>
  </si>
  <si>
    <t>Report name</t>
  </si>
  <si>
    <t>Index</t>
  </si>
  <si>
    <t>Date</t>
  </si>
  <si>
    <t>ValueDate</t>
  </si>
  <si>
    <t>ValuePercentage</t>
  </si>
  <si>
    <t>ValueNumber</t>
  </si>
  <si>
    <t>ValueText</t>
  </si>
  <si>
    <t>Heading level</t>
  </si>
  <si>
    <t>Reference</t>
  </si>
  <si>
    <t>Column1</t>
  </si>
  <si>
    <t>Column2</t>
  </si>
  <si>
    <t xml:space="preserve"> - Start date</t>
  </si>
  <si>
    <t xml:space="preserve"> - Financial year end month</t>
  </si>
  <si>
    <t xml:space="preserve"> - Pre-inflation average totex PR19</t>
  </si>
  <si>
    <t xml:space="preserve"> - Average totex PR24</t>
  </si>
  <si>
    <t xml:space="preserve"> - Pre-inflation average PAYG PR19</t>
  </si>
  <si>
    <t xml:space="preserve"> - Average PAYG PR24</t>
  </si>
  <si>
    <t xml:space="preserve"> - Pre-inflation average profiled allowed revenue PR19</t>
  </si>
  <si>
    <t xml:space="preserve"> - Average profiled allowed revenue PR24</t>
  </si>
  <si>
    <t xml:space="preserve"> - Pre-inflation run off PR19</t>
  </si>
  <si>
    <t xml:space="preserve"> - Run off PR24</t>
  </si>
  <si>
    <t xml:space="preserve"> - Pre-inflation average RCV PR19</t>
  </si>
  <si>
    <t xml:space="preserve"> - Average RCV PR24</t>
  </si>
  <si>
    <t xml:space="preserve"> - CPIH 2017-18</t>
  </si>
  <si>
    <t xml:space="preserve"> - CPIH 2022-23</t>
  </si>
  <si>
    <t xml:space="preserve"> - Total wholesale revenues PR24</t>
  </si>
  <si>
    <t xml:space="preserve"> - Pre-inflation final profiled allowed revenues PR19</t>
  </si>
  <si>
    <t xml:space="preserve"> - Final profiled allowed revenues PR24</t>
  </si>
  <si>
    <t xml:space="preserve"> - Pre-inflation final return on capital PR19</t>
  </si>
  <si>
    <t xml:space="preserve"> - Final return on capital PR24</t>
  </si>
  <si>
    <t xml:space="preserve"> - Combined average bills PR19 (2022-23 prices)</t>
  </si>
  <si>
    <t xml:space="preserve"> - Combined average bills PR24</t>
  </si>
  <si>
    <t xml:space="preserve"> - Pre-inflation post financeability adjustment PR19</t>
  </si>
  <si>
    <t xml:space="preserve"> - Post financeability adjustment PR24</t>
  </si>
  <si>
    <t xml:space="preserve"> - Pre-inflation pension deficit repair allowance PR19</t>
  </si>
  <si>
    <t xml:space="preserve"> - Pension deficit repair allowance PR24</t>
  </si>
  <si>
    <t xml:space="preserve"> - Pre-inflation tax PR19</t>
  </si>
  <si>
    <t xml:space="preserve"> - Tax PR24</t>
  </si>
  <si>
    <t xml:space="preserve"> - Pre-inflation revenue profiling PR19</t>
  </si>
  <si>
    <t xml:space="preserve"> - Revenue profiling PR24</t>
  </si>
  <si>
    <t xml:space="preserve"> - Housing apportionment PR19</t>
  </si>
  <si>
    <t xml:space="preserve"> - Housing apportionment PR24</t>
  </si>
  <si>
    <t xml:space="preserve"> - Number of metered households PR19</t>
  </si>
  <si>
    <t xml:space="preserve"> - Number of unmetered households PR19</t>
  </si>
  <si>
    <t xml:space="preserve"> - Number of metered households PR24</t>
  </si>
  <si>
    <t xml:space="preserve"> - Number of unmetered households PR24</t>
  </si>
  <si>
    <t xml:space="preserve"> - Total retail revenue PR19</t>
  </si>
  <si>
    <t xml:space="preserve"> - Total retail revenue PR24</t>
  </si>
  <si>
    <t xml:space="preserve"> - Pre-inflation base expenditure PR19</t>
  </si>
  <si>
    <t xml:space="preserve"> - Base expenditure PR24</t>
  </si>
  <si>
    <t xml:space="preserve"> - Pre-inflation storm overflows PR19</t>
  </si>
  <si>
    <t xml:space="preserve"> - Storm overflows PR24</t>
  </si>
  <si>
    <t xml:space="preserve"> - Pre-inflation nutrient removal PR19</t>
  </si>
  <si>
    <t xml:space="preserve"> - Nutrient removal PR24</t>
  </si>
  <si>
    <t xml:space="preserve"> - Pre-inflation resilience PR19</t>
  </si>
  <si>
    <t xml:space="preserve"> - Resilience PR24</t>
  </si>
  <si>
    <t xml:space="preserve"> - Pre-inflation net zero PR19</t>
  </si>
  <si>
    <t xml:space="preserve"> - Net zero PR24</t>
  </si>
  <si>
    <t xml:space="preserve"> - Pre-inflation WRMP PR19</t>
  </si>
  <si>
    <t xml:space="preserve"> - WRMP PR24</t>
  </si>
  <si>
    <t xml:space="preserve"> - Pre-inflation environmental PR19</t>
  </si>
  <si>
    <t xml:space="preserve"> - Environmental PR24</t>
  </si>
  <si>
    <t xml:space="preserve"> - Pre-inflation other environmental PR19</t>
  </si>
  <si>
    <t xml:space="preserve"> - Other environmental PR24</t>
  </si>
  <si>
    <t xml:space="preserve"> - Pre-inflation other enhancement costs PR19</t>
  </si>
  <si>
    <t xml:space="preserve"> - Other enhancement costs PR24</t>
  </si>
  <si>
    <t xml:space="preserve"> - Units in a thousand</t>
  </si>
  <si>
    <t>Months per period</t>
  </si>
  <si>
    <t xml:space="preserve"> - Months per period</t>
  </si>
  <si>
    <t xml:space="preserve"> - Model period end</t>
  </si>
  <si>
    <t xml:space="preserve"> - Timeline label</t>
  </si>
  <si>
    <t xml:space="preserve"> - Contract year</t>
  </si>
  <si>
    <t xml:space="preserve"> - Period number</t>
  </si>
  <si>
    <t xml:space="preserve"> - Model period start</t>
  </si>
  <si>
    <t xml:space="preserve"> - Average totex PR19</t>
  </si>
  <si>
    <t xml:space="preserve"> - Average PAYG PR19</t>
  </si>
  <si>
    <t xml:space="preserve"> - Average PAYG variance</t>
  </si>
  <si>
    <t xml:space="preserve"> - Effective average PAYG rate PR19</t>
  </si>
  <si>
    <t xml:space="preserve"> - Effective average PAYG rate PR24</t>
  </si>
  <si>
    <t xml:space="preserve"> - Effective average PAYG rate variance</t>
  </si>
  <si>
    <t xml:space="preserve"> - Impact of average PAYG rates</t>
  </si>
  <si>
    <t xml:space="preserve"> - Impact of average totex change</t>
  </si>
  <si>
    <t xml:space="preserve"> - Average profiled allowed revenue PR19</t>
  </si>
  <si>
    <t xml:space="preserve"> - Average profiled allowed revenues variance per customer</t>
  </si>
  <si>
    <t xml:space="preserve"> - Average adjustment factor</t>
  </si>
  <si>
    <t xml:space="preserve"> - Pre-adjustment average PAYG bill impact</t>
  </si>
  <si>
    <t xml:space="preserve"> - Average PAYG bill impact</t>
  </si>
  <si>
    <t xml:space="preserve"> - Average totex increase/(decrease)</t>
  </si>
  <si>
    <t xml:space="preserve"> - Pre-adjustment PAYG bill impact</t>
  </si>
  <si>
    <t xml:space="preserve"> - PAYG bill impact</t>
  </si>
  <si>
    <t xml:space="preserve"> - Final Impact of PAYG rate change</t>
  </si>
  <si>
    <t xml:space="preserve"> - Average RCV PR19</t>
  </si>
  <si>
    <t xml:space="preserve"> - Run off PR19</t>
  </si>
  <si>
    <t xml:space="preserve"> - Run off variance</t>
  </si>
  <si>
    <t xml:space="preserve"> - Effective run off rate PR19</t>
  </si>
  <si>
    <t xml:space="preserve"> - Effective run off rate PR24</t>
  </si>
  <si>
    <t xml:space="preserve"> - Effective run off rate variance</t>
  </si>
  <si>
    <t xml:space="preserve"> - Impact of run off rates</t>
  </si>
  <si>
    <t xml:space="preserve"> - Impact of increased RCV</t>
  </si>
  <si>
    <t xml:space="preserve"> - Pre-adjustment run off bill impact</t>
  </si>
  <si>
    <t xml:space="preserve"> - Run off bill impact</t>
  </si>
  <si>
    <t xml:space="preserve"> - RCV</t>
  </si>
  <si>
    <t xml:space="preserve"> - Run-off rates</t>
  </si>
  <si>
    <t xml:space="preserve"> - CPIH factor</t>
  </si>
  <si>
    <t xml:space="preserve"> - Total bill impact</t>
  </si>
  <si>
    <t xml:space="preserve"> - Wholesale bill impact</t>
  </si>
  <si>
    <t xml:space="preserve"> - Profiled allowed revenues PR19</t>
  </si>
  <si>
    <t xml:space="preserve"> - Profiled allowed revenues per customer</t>
  </si>
  <si>
    <t xml:space="preserve"> - Adjustment factor</t>
  </si>
  <si>
    <t xml:space="preserve"> - Final return on capital PR19</t>
  </si>
  <si>
    <t xml:space="preserve"> - Pre-adjustment WACC</t>
  </si>
  <si>
    <t xml:space="preserve"> - WACC</t>
  </si>
  <si>
    <t xml:space="preserve"> - Post financeability adjustment PR19</t>
  </si>
  <si>
    <t xml:space="preserve"> - Pre-adjustment wholesale reconciliation</t>
  </si>
  <si>
    <t xml:space="preserve"> - Wholesale reconciliation items</t>
  </si>
  <si>
    <t xml:space="preserve"> - Pension deficit repair allowance PR19</t>
  </si>
  <si>
    <t xml:space="preserve"> - Pre-adjustment Pension deficit repair allowance</t>
  </si>
  <si>
    <t xml:space="preserve"> - Pension deficit repair allowance</t>
  </si>
  <si>
    <t xml:space="preserve"> - Tax PR19</t>
  </si>
  <si>
    <t xml:space="preserve"> - Pre-adjustment tax</t>
  </si>
  <si>
    <t xml:space="preserve"> - Tax</t>
  </si>
  <si>
    <t xml:space="preserve"> - Revenue profiling PR19</t>
  </si>
  <si>
    <t xml:space="preserve"> - Pre-adjustment revenue profiling</t>
  </si>
  <si>
    <t xml:space="preserve"> - Revenue profiling</t>
  </si>
  <si>
    <t xml:space="preserve"> - Other wholesale items</t>
  </si>
  <si>
    <t xml:space="preserve"> - Other</t>
  </si>
  <si>
    <t xml:space="preserve"> - Total number of households PR19</t>
  </si>
  <si>
    <t xml:space="preserve"> - Total number of households PR24</t>
  </si>
  <si>
    <t xml:space="preserve"> - Retail revenue per customer PR19</t>
  </si>
  <si>
    <t xml:space="preserve"> - Retail revenue per customer PR24</t>
  </si>
  <si>
    <t xml:space="preserve"> - Retail cost to serve</t>
  </si>
  <si>
    <t xml:space="preserve"> - Housing apportionment per customer PR19</t>
  </si>
  <si>
    <t xml:space="preserve"> - Housing apportionment per customer PR24</t>
  </si>
  <si>
    <t xml:space="preserve"> - Customer numbers &amp; retail apportionment</t>
  </si>
  <si>
    <t xml:space="preserve"> - Costs impact</t>
  </si>
  <si>
    <t xml:space="preserve"> - Base expenditure delta</t>
  </si>
  <si>
    <t xml:space="preserve"> - Storm overflows delta</t>
  </si>
  <si>
    <t xml:space="preserve"> - Nutrient removal delta</t>
  </si>
  <si>
    <t xml:space="preserve"> - Resilience delta</t>
  </si>
  <si>
    <t xml:space="preserve"> - Net zero delta</t>
  </si>
  <si>
    <t xml:space="preserve"> - WRMP delta</t>
  </si>
  <si>
    <t xml:space="preserve"> - Environmental delta</t>
  </si>
  <si>
    <t xml:space="preserve"> - Other environmental delta</t>
  </si>
  <si>
    <t xml:space="preserve"> - Other enhancement costs delta</t>
  </si>
  <si>
    <t xml:space="preserve"> - Total expenditure category delta</t>
  </si>
  <si>
    <t xml:space="preserve"> - Base expenditure proportion</t>
  </si>
  <si>
    <t xml:space="preserve"> - Storm overflows proportion</t>
  </si>
  <si>
    <t xml:space="preserve"> - Nutrient removal proportion</t>
  </si>
  <si>
    <t xml:space="preserve"> - Resilience proportion</t>
  </si>
  <si>
    <t xml:space="preserve"> - Net zero proportion</t>
  </si>
  <si>
    <t xml:space="preserve"> - WRMP proportion</t>
  </si>
  <si>
    <t xml:space="preserve"> - Environmental proportion</t>
  </si>
  <si>
    <t xml:space="preserve"> - Other environmental proportion</t>
  </si>
  <si>
    <t xml:space="preserve"> - Other enhancement costs proportion</t>
  </si>
  <si>
    <t xml:space="preserve"> - Base expenditure</t>
  </si>
  <si>
    <t xml:space="preserve"> - Storm overflows</t>
  </si>
  <si>
    <t xml:space="preserve"> - Nutrient removal</t>
  </si>
  <si>
    <t xml:space="preserve"> - Resilience</t>
  </si>
  <si>
    <t xml:space="preserve"> - Net zero</t>
  </si>
  <si>
    <t xml:space="preserve"> - WRMP</t>
  </si>
  <si>
    <t xml:space="preserve"> - Environmental</t>
  </si>
  <si>
    <t xml:space="preserve"> - Other environmental</t>
  </si>
  <si>
    <t xml:space="preserve"> - Other enhancement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</si>
</sst>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5">
    <numFmt numFmtId="164" formatCode="dd/mm/yyyy;@"/>
    <numFmt numFmtId="165" formatCode="#,##0_);\(#,##0\);&quot;-  &quot;;&quot; &quot;@&quot; &quot;"/>
    <numFmt numFmtId="166" formatCode="#,##0_);\(#,##0\);&quot;-  &quot;;&quot; &quot;@"/>
    <numFmt numFmtId="167" formatCode="dd\ mmm\ yy_);\(###0\);&quot;-  &quot;;&quot; &quot;@&quot; &quot;"/>
    <numFmt numFmtId="168" formatCode="#,##0.0000_);\(#,##0.0000\);&quot;-  &quot;;&quot; &quot;@&quot; &quot;"/>
    <numFmt numFmtId="169" formatCode="0.00%_);\-0.00%_);&quot;-  &quot;;&quot; &quot;@&quot; &quot;"/>
    <numFmt numFmtId="170" formatCode="dd\ mmm\ yyyy_);\(###0\);&quot;-  &quot;;&quot; &quot;@&quot; &quot;"/>
    <numFmt numFmtId="171" formatCode="###0_);\(###0\);&quot;-  &quot;;&quot; &quot;@&quot; &quot;"/>
    <numFmt numFmtId="172" formatCode="0;0;&quot;-&quot;"/>
    <numFmt numFmtId="173" formatCode="0.00%;\-0.00%_);&quot;-  &quot;;&quot; &quot;@&quot; &quot;"/>
    <numFmt numFmtId="174" formatCode="#,##0.0000;\(#,##0.0000\);&quot;-  &quot;;&quot; &quot;@&quot; &quot;"/>
    <numFmt numFmtId="175" formatCode="#,##0.0_);\(#,##0.0\);&quot;-  &quot;;&quot; &quot;@&quot; &quot;"/>
    <numFmt numFmtId="176" formatCode="#,##0.00_);\(#,##0.00\);&quot;-  &quot;;&quot; &quot;@&quot; &quot;"/>
    <numFmt numFmtId="177" formatCode="[$-F800]dddd\,\ mmmm\ dd\,\ yyyy"/>
    <numFmt numFmtId="178" formatCode="#,##0.000_);\(#,##0.000\);&quot;-  &quot;;&quot; &quot;@&quot; &quot;"/>
  </numFmts>
  <fonts count="52" x14ac:knownFonts="1">
    <font>
      <sz val="8"/>
      <color theme="1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8"/>
      <color theme="10"/>
      <name val="Tahoma"/>
      <family val="2"/>
    </font>
    <font>
      <u/>
      <sz val="11"/>
      <color theme="10"/>
      <name val="Arial"/>
      <family val="2"/>
    </font>
    <font>
      <sz val="10"/>
      <color rgb="FF000000"/>
      <name val="Arial"/>
      <family val="2"/>
    </font>
    <font>
      <sz val="10"/>
      <name val="Calibri"/>
      <family val="2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6"/>
      <color rgb="FFFFFFFF"/>
      <name val="Calibri"/>
      <family val="2"/>
      <scheme val="minor"/>
    </font>
    <font>
      <b/>
      <sz val="10"/>
      <color rgb="FF000000"/>
      <name val="Calibri"/>
      <family val="2"/>
      <scheme val="minor"/>
    </font>
    <font>
      <i/>
      <sz val="10"/>
      <name val="Calibri"/>
      <family val="2"/>
      <scheme val="minor"/>
    </font>
    <font>
      <sz val="20"/>
      <color rgb="FFFFFFFF"/>
      <name val="Calibri"/>
      <family val="2"/>
      <scheme val="minor"/>
    </font>
    <font>
      <u/>
      <sz val="12"/>
      <color rgb="FFFFFFFF"/>
      <name val="Calibri"/>
      <family val="2"/>
      <scheme val="minor"/>
    </font>
    <font>
      <b/>
      <sz val="20"/>
      <color rgb="FFFFFFFF"/>
      <name val="Calibri"/>
      <family val="2"/>
      <scheme val="minor"/>
    </font>
    <font>
      <u/>
      <sz val="20"/>
      <color rgb="FFFFFFFF"/>
      <name val="Calibri"/>
      <family val="2"/>
      <scheme val="minor"/>
    </font>
    <font>
      <u/>
      <sz val="10"/>
      <color rgb="FF000000"/>
      <name val="Calibri"/>
      <family val="2"/>
      <scheme val="minor"/>
    </font>
    <font>
      <u/>
      <sz val="10"/>
      <name val="Calibri"/>
      <family val="2"/>
      <scheme val="minor"/>
    </font>
    <font>
      <sz val="15"/>
      <color indexed="9"/>
      <name val="Calibri"/>
      <family val="2"/>
      <scheme val="minor"/>
    </font>
    <font>
      <sz val="10"/>
      <color rgb="FF0000FF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3595"/>
      <name val="Calibri"/>
      <family val="2"/>
      <scheme val="minor"/>
    </font>
    <font>
      <sz val="16"/>
      <color theme="0"/>
      <name val="Calibri"/>
      <family val="2"/>
      <scheme val="minor"/>
    </font>
    <font>
      <u/>
      <sz val="12"/>
      <color theme="0"/>
      <name val="Calibri"/>
      <family val="2"/>
      <scheme val="minor"/>
    </font>
    <font>
      <u/>
      <sz val="20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20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18"/>
      <name val="Calibri"/>
      <family val="2"/>
      <scheme val="minor"/>
    </font>
    <font>
      <u/>
      <sz val="10"/>
      <color rgb="FF00B050"/>
      <name val="Calibri"/>
      <family val="2"/>
      <scheme val="minor"/>
    </font>
    <font>
      <sz val="18"/>
      <name val="Calibri"/>
      <family val="2"/>
      <scheme val="minor"/>
    </font>
    <font>
      <sz val="8"/>
      <color rgb="FFFFFFFF"/>
      <name val="Calibri"/>
      <family val="2"/>
      <scheme val="minor"/>
    </font>
    <font>
      <b/>
      <u/>
      <sz val="12"/>
      <color rgb="FF00B050"/>
      <name val="Calibri"/>
      <family val="2"/>
      <scheme val="minor"/>
    </font>
    <font>
      <sz val="8"/>
      <color theme="1"/>
      <name val="Tahoma"/>
      <family val="2"/>
    </font>
    <font>
      <sz val="10"/>
      <color rgb="FF0071CE"/>
      <name val="Calibri"/>
      <family val="2"/>
      <scheme val="minor"/>
    </font>
    <font>
      <sz val="10"/>
      <color rgb="FFD60037"/>
      <name val="Calibri"/>
      <family val="2"/>
      <scheme val="minor"/>
    </font>
    <font>
      <b/>
      <sz val="8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u/>
      <sz val="10"/>
      <color theme="8"/>
      <name val="Calibri"/>
      <family val="2"/>
      <scheme val="minor"/>
    </font>
    <font>
      <i/>
      <sz val="10"/>
      <color theme="8"/>
      <name val="Calibri"/>
      <family val="2"/>
      <scheme val="minor"/>
    </font>
    <font>
      <b/>
      <i/>
      <sz val="10"/>
      <color theme="8"/>
      <name val="Calibri"/>
      <family val="2"/>
      <scheme val="minor"/>
    </font>
    <font>
      <i/>
      <sz val="10"/>
      <color theme="8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E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359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DCECF5"/>
        <bgColor indexed="64"/>
      </patternFill>
    </fill>
  </fills>
  <borders count="5">
    <border>
      <left/>
      <right/>
      <top/>
      <bottom/>
      <diagonal/>
    </border>
    <border>
      <left style="thin">
        <color theme="0" tint="-0.24991607409894101"/>
      </left>
      <right/>
      <top style="thin">
        <color theme="0" tint="-0.24991607409894101"/>
      </top>
      <bottom style="thin">
        <color theme="0" tint="-0.2499160740989410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thin">
        <color rgb="FF003595"/>
      </left>
      <right style="thin">
        <color rgb="FF003595"/>
      </right>
      <top style="thin">
        <color rgb="FF003595"/>
      </top>
      <bottom style="thin">
        <color rgb="FF003595"/>
      </bottom>
      <diagonal/>
    </border>
  </borders>
  <cellStyleXfs count="46">
    <xf numFmtId="165" fontId="0" fillId="0" borderId="0" applyFont="0" applyFill="0" applyBorder="0" applyProtection="0">
      <alignment vertical="top"/>
    </xf>
    <xf numFmtId="165" fontId="1" fillId="0" borderId="0" applyBorder="0">
      <alignment vertical="top"/>
    </xf>
    <xf numFmtId="169" fontId="1" fillId="0" borderId="0" applyBorder="0">
      <alignment vertical="top"/>
    </xf>
    <xf numFmtId="165" fontId="1" fillId="0" borderId="0" applyBorder="0">
      <alignment vertical="top"/>
    </xf>
    <xf numFmtId="167" fontId="1" fillId="0" borderId="0" applyBorder="0">
      <alignment vertical="top"/>
    </xf>
    <xf numFmtId="166" fontId="1" fillId="0" borderId="0" applyFont="0" applyFill="0" applyBorder="0" applyProtection="0">
      <alignment vertical="top"/>
    </xf>
    <xf numFmtId="170" fontId="1" fillId="0" borderId="0" applyFont="0" applyFill="0" applyBorder="0" applyProtection="0">
      <alignment vertical="top"/>
    </xf>
    <xf numFmtId="170" fontId="1" fillId="0" borderId="0" applyFont="0" applyFill="0" applyBorder="0" applyProtection="0">
      <alignment vertical="top"/>
    </xf>
    <xf numFmtId="167" fontId="1" fillId="0" borderId="0" applyFont="0" applyFill="0" applyBorder="0" applyProtection="0">
      <alignment vertical="top"/>
    </xf>
    <xf numFmtId="167" fontId="1" fillId="0" borderId="0" applyFont="0" applyFill="0" applyBorder="0" applyProtection="0">
      <alignment vertical="top"/>
    </xf>
    <xf numFmtId="174" fontId="1" fillId="0" borderId="0" applyFont="0" applyFill="0" applyBorder="0" applyProtection="0">
      <alignment vertical="top"/>
    </xf>
    <xf numFmtId="168" fontId="2" fillId="0" borderId="0" applyFont="0" applyFill="0" applyBorder="0" applyProtection="0">
      <alignment vertical="top"/>
    </xf>
    <xf numFmtId="168" fontId="1" fillId="0" borderId="0" applyFont="0" applyFill="0" applyBorder="0" applyProtection="0">
      <alignment vertical="top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9" fontId="5" fillId="2" borderId="1" applyProtection="0">
      <alignment vertical="top"/>
    </xf>
    <xf numFmtId="165" fontId="5" fillId="2" borderId="1" applyProtection="0">
      <alignment vertical="top"/>
    </xf>
    <xf numFmtId="164" fontId="5" fillId="2" borderId="1" applyProtection="0">
      <alignment vertical="top"/>
    </xf>
    <xf numFmtId="165" fontId="5" fillId="2" borderId="1" applyProtection="0">
      <alignment vertical="top"/>
    </xf>
    <xf numFmtId="165" fontId="1" fillId="0" borderId="0" applyFont="0" applyFill="0" applyBorder="0" applyProtection="0">
      <alignment vertical="top"/>
    </xf>
    <xf numFmtId="165" fontId="6" fillId="0" borderId="0" applyFill="0" applyBorder="0" applyProtection="0">
      <alignment vertical="top"/>
    </xf>
    <xf numFmtId="165" fontId="1" fillId="0" borderId="0" applyFont="0" applyFill="0" applyBorder="0" applyProtection="0">
      <alignment vertical="top"/>
    </xf>
    <xf numFmtId="165" fontId="2" fillId="0" borderId="0" applyFont="0" applyFill="0" applyBorder="0" applyProtection="0">
      <alignment vertical="top"/>
    </xf>
    <xf numFmtId="165" fontId="2" fillId="0" borderId="0" applyFont="0" applyFill="0" applyBorder="0" applyProtection="0">
      <alignment vertical="top"/>
    </xf>
    <xf numFmtId="165" fontId="2" fillId="0" borderId="0" applyFont="0" applyFill="0" applyBorder="0" applyProtection="0">
      <alignment vertical="top"/>
    </xf>
    <xf numFmtId="165" fontId="1" fillId="0" borderId="0" applyFont="0" applyFill="0" applyBorder="0" applyProtection="0">
      <alignment vertical="top"/>
    </xf>
    <xf numFmtId="0" fontId="7" fillId="0" borderId="0"/>
    <xf numFmtId="173" fontId="40" fillId="0" borderId="0" applyFont="0" applyFill="0" applyBorder="0" applyProtection="0">
      <alignment vertical="top"/>
    </xf>
    <xf numFmtId="169" fontId="1" fillId="0" borderId="0" applyFont="0" applyFill="0" applyBorder="0" applyProtection="0">
      <alignment vertical="top"/>
    </xf>
    <xf numFmtId="169" fontId="2" fillId="0" borderId="0" applyFont="0" applyFill="0" applyBorder="0" applyProtection="0">
      <alignment vertical="top"/>
    </xf>
    <xf numFmtId="169" fontId="1" fillId="0" borderId="0" applyFont="0" applyFill="0" applyBorder="0" applyProtection="0">
      <alignment vertical="top"/>
    </xf>
    <xf numFmtId="165" fontId="40" fillId="0" borderId="2" applyNumberFormat="0" applyFont="0" applyFill="0" applyAlignment="0">
      <alignment vertical="top"/>
    </xf>
    <xf numFmtId="165" fontId="40" fillId="0" borderId="3" applyNumberFormat="0" applyFont="0" applyFill="0" applyAlignment="0">
      <alignment vertical="top"/>
    </xf>
    <xf numFmtId="166" fontId="1" fillId="0" borderId="0" applyBorder="0">
      <alignment vertical="top"/>
    </xf>
    <xf numFmtId="9" fontId="1" fillId="0" borderId="0" applyBorder="0">
      <alignment vertical="top"/>
    </xf>
    <xf numFmtId="166" fontId="1" fillId="0" borderId="0" applyBorder="0">
      <alignment vertical="top"/>
    </xf>
    <xf numFmtId="167" fontId="5" fillId="0" borderId="0" applyBorder="0">
      <alignment vertical="top"/>
    </xf>
    <xf numFmtId="165" fontId="8" fillId="0" borderId="0" applyAlignment="0">
      <alignment vertical="top"/>
    </xf>
    <xf numFmtId="165" fontId="8" fillId="0" borderId="0" applyAlignment="0">
      <alignment vertical="top"/>
    </xf>
    <xf numFmtId="165" fontId="9" fillId="0" borderId="0" applyAlignment="0">
      <alignment vertical="top"/>
    </xf>
    <xf numFmtId="165" fontId="9" fillId="0" borderId="0" applyAlignment="0">
      <alignment vertical="top"/>
    </xf>
    <xf numFmtId="165" fontId="9" fillId="0" borderId="0" applyAlignment="0">
      <alignment vertical="top"/>
    </xf>
    <xf numFmtId="165" fontId="9" fillId="0" borderId="0" applyAlignment="0">
      <alignment vertical="top"/>
    </xf>
    <xf numFmtId="171" fontId="1" fillId="0" borderId="0" applyFont="0" applyFill="0" applyBorder="0" applyProtection="0">
      <alignment vertical="top"/>
    </xf>
    <xf numFmtId="171" fontId="1" fillId="0" borderId="0" applyFont="0" applyFill="0" applyBorder="0" applyProtection="0">
      <alignment vertical="top"/>
    </xf>
    <xf numFmtId="171" fontId="6" fillId="0" borderId="0" applyFont="0" applyFill="0" applyBorder="0" applyProtection="0">
      <alignment vertical="top"/>
    </xf>
  </cellStyleXfs>
  <cellXfs count="121">
    <xf numFmtId="165" fontId="0" fillId="0" borderId="0" xfId="0">
      <alignment vertical="top"/>
    </xf>
    <xf numFmtId="166" fontId="9" fillId="0" borderId="0" xfId="5" applyFont="1">
      <alignment vertical="top"/>
    </xf>
    <xf numFmtId="167" fontId="8" fillId="0" borderId="0" xfId="9" applyFont="1">
      <alignment vertical="top"/>
    </xf>
    <xf numFmtId="166" fontId="9" fillId="3" borderId="0" xfId="5" applyFont="1" applyFill="1" applyAlignment="1">
      <alignment horizontal="right" vertical="top"/>
    </xf>
    <xf numFmtId="165" fontId="10" fillId="4" borderId="0" xfId="19" applyFont="1" applyFill="1" applyAlignment="1">
      <alignment vertical="center"/>
    </xf>
    <xf numFmtId="165" fontId="11" fillId="5" borderId="0" xfId="0" applyFont="1" applyFill="1">
      <alignment vertical="top"/>
    </xf>
    <xf numFmtId="165" fontId="12" fillId="0" borderId="0" xfId="19" applyFont="1">
      <alignment vertical="top"/>
    </xf>
    <xf numFmtId="165" fontId="8" fillId="0" borderId="0" xfId="19" applyFont="1">
      <alignment vertical="top"/>
    </xf>
    <xf numFmtId="165" fontId="9" fillId="4" borderId="0" xfId="19" applyFont="1" applyFill="1">
      <alignment vertical="top"/>
    </xf>
    <xf numFmtId="165" fontId="9" fillId="0" borderId="0" xfId="19" applyFont="1">
      <alignment vertical="top"/>
    </xf>
    <xf numFmtId="171" fontId="9" fillId="0" borderId="0" xfId="5" applyNumberFormat="1" applyFont="1">
      <alignment vertical="top"/>
    </xf>
    <xf numFmtId="171" fontId="12" fillId="0" borderId="0" xfId="43" applyFont="1">
      <alignment vertical="top"/>
    </xf>
    <xf numFmtId="165" fontId="13" fillId="6" borderId="0" xfId="19" applyFont="1" applyFill="1" applyAlignment="1">
      <alignment horizontal="left" vertical="top"/>
    </xf>
    <xf numFmtId="165" fontId="14" fillId="0" borderId="0" xfId="19" applyFont="1">
      <alignment vertical="top"/>
    </xf>
    <xf numFmtId="167" fontId="15" fillId="0" borderId="0" xfId="9" applyFont="1">
      <alignment vertical="top"/>
    </xf>
    <xf numFmtId="172" fontId="9" fillId="7" borderId="0" xfId="0" applyNumberFormat="1" applyFont="1" applyFill="1" applyBorder="1" applyAlignment="1">
      <alignment horizontal="center" vertical="top"/>
    </xf>
    <xf numFmtId="167" fontId="12" fillId="0" borderId="0" xfId="8" applyFont="1">
      <alignment vertical="top"/>
    </xf>
    <xf numFmtId="165" fontId="16" fillId="6" borderId="0" xfId="19" applyFont="1" applyFill="1" applyAlignment="1">
      <alignment horizontal="right" vertical="top"/>
    </xf>
    <xf numFmtId="165" fontId="17" fillId="6" borderId="0" xfId="13" applyNumberFormat="1" applyFont="1" applyFill="1" applyAlignment="1">
      <alignment horizontal="center" vertical="center"/>
    </xf>
    <xf numFmtId="165" fontId="18" fillId="6" borderId="0" xfId="19" applyFont="1" applyFill="1">
      <alignment vertical="top"/>
    </xf>
    <xf numFmtId="165" fontId="16" fillId="6" borderId="0" xfId="19" applyFont="1" applyFill="1">
      <alignment vertical="top"/>
    </xf>
    <xf numFmtId="165" fontId="19" fillId="6" borderId="0" xfId="19" applyFont="1" applyFill="1">
      <alignment vertical="top"/>
    </xf>
    <xf numFmtId="165" fontId="12" fillId="0" borderId="0" xfId="19" applyFont="1" applyAlignment="1">
      <alignment horizontal="right" vertical="top"/>
    </xf>
    <xf numFmtId="165" fontId="20" fillId="0" borderId="0" xfId="19" applyFont="1">
      <alignment vertical="top"/>
    </xf>
    <xf numFmtId="165" fontId="21" fillId="0" borderId="0" xfId="19" applyFont="1">
      <alignment vertical="top"/>
    </xf>
    <xf numFmtId="165" fontId="22" fillId="6" borderId="0" xfId="0" applyFont="1" applyFill="1">
      <alignment vertical="top"/>
    </xf>
    <xf numFmtId="165" fontId="9" fillId="6" borderId="0" xfId="20" applyFont="1" applyFill="1">
      <alignment vertical="top"/>
    </xf>
    <xf numFmtId="165" fontId="23" fillId="0" borderId="4" xfId="0" applyFont="1" applyFill="1" applyBorder="1" applyAlignment="1">
      <alignment vertical="center"/>
    </xf>
    <xf numFmtId="165" fontId="24" fillId="0" borderId="4" xfId="0" applyFont="1" applyFill="1" applyBorder="1" applyAlignment="1">
      <alignment vertical="center"/>
    </xf>
    <xf numFmtId="165" fontId="25" fillId="0" borderId="4" xfId="0" applyFont="1" applyFill="1" applyBorder="1" applyAlignment="1">
      <alignment vertical="center"/>
    </xf>
    <xf numFmtId="165" fontId="22" fillId="6" borderId="0" xfId="22" applyFont="1" applyFill="1" applyAlignment="1">
      <alignment vertical="center"/>
    </xf>
    <xf numFmtId="165" fontId="11" fillId="0" borderId="0" xfId="0" applyFont="1">
      <alignment vertical="top"/>
    </xf>
    <xf numFmtId="165" fontId="8" fillId="0" borderId="0" xfId="0" applyFont="1">
      <alignment vertical="top"/>
    </xf>
    <xf numFmtId="167" fontId="9" fillId="0" borderId="0" xfId="9" applyFont="1">
      <alignment vertical="top"/>
    </xf>
    <xf numFmtId="165" fontId="26" fillId="6" borderId="0" xfId="0" applyFont="1" applyFill="1" applyAlignment="1">
      <alignment horizontal="left" vertical="top"/>
    </xf>
    <xf numFmtId="165" fontId="25" fillId="9" borderId="4" xfId="0" applyFont="1" applyFill="1" applyBorder="1">
      <alignment vertical="top"/>
    </xf>
    <xf numFmtId="165" fontId="25" fillId="9" borderId="4" xfId="0" applyFont="1" applyFill="1" applyBorder="1" applyAlignment="1"/>
    <xf numFmtId="165" fontId="25" fillId="9" borderId="4" xfId="0" applyFont="1" applyFill="1" applyBorder="1" applyAlignment="1">
      <alignment vertical="center" wrapText="1"/>
    </xf>
    <xf numFmtId="165" fontId="27" fillId="6" borderId="0" xfId="13" applyNumberFormat="1" applyFont="1" applyFill="1" applyAlignment="1">
      <alignment horizontal="center" vertical="center"/>
    </xf>
    <xf numFmtId="165" fontId="25" fillId="9" borderId="4" xfId="0" applyFont="1" applyFill="1" applyBorder="1" applyAlignment="1">
      <alignment wrapText="1"/>
    </xf>
    <xf numFmtId="165" fontId="9" fillId="0" borderId="0" xfId="20" applyFont="1" applyFill="1">
      <alignment vertical="top"/>
    </xf>
    <xf numFmtId="165" fontId="25" fillId="5" borderId="4" xfId="0" applyFont="1" applyFill="1" applyBorder="1" applyAlignment="1">
      <alignment vertical="center"/>
    </xf>
    <xf numFmtId="165" fontId="28" fillId="6" borderId="0" xfId="0" applyFont="1" applyFill="1">
      <alignment vertical="top"/>
    </xf>
    <xf numFmtId="165" fontId="29" fillId="4" borderId="0" xfId="19" applyFont="1" applyFill="1" applyAlignment="1">
      <alignment vertical="center"/>
    </xf>
    <xf numFmtId="165" fontId="30" fillId="6" borderId="0" xfId="0" applyFont="1" applyFill="1">
      <alignment vertical="top"/>
    </xf>
    <xf numFmtId="165" fontId="9" fillId="0" borderId="0" xfId="19" applyFont="1" applyAlignment="1">
      <alignment horizontal="right" vertical="top"/>
    </xf>
    <xf numFmtId="165" fontId="12" fillId="0" borderId="0" xfId="0" applyFont="1">
      <alignment vertical="top"/>
    </xf>
    <xf numFmtId="165" fontId="25" fillId="9" borderId="4" xfId="0" applyFont="1" applyFill="1" applyBorder="1" applyAlignment="1">
      <alignment vertical="center"/>
    </xf>
    <xf numFmtId="165" fontId="14" fillId="0" borderId="0" xfId="0" applyFont="1">
      <alignment vertical="top"/>
    </xf>
    <xf numFmtId="165" fontId="30" fillId="6" borderId="0" xfId="0" applyFont="1" applyFill="1" applyAlignment="1">
      <alignment horizontal="right" vertical="top"/>
    </xf>
    <xf numFmtId="165" fontId="9" fillId="0" borderId="0" xfId="0" applyFont="1">
      <alignment vertical="top"/>
    </xf>
    <xf numFmtId="176" fontId="9" fillId="0" borderId="0" xfId="19" applyNumberFormat="1" applyFont="1">
      <alignment vertical="top"/>
    </xf>
    <xf numFmtId="165" fontId="31" fillId="6" borderId="0" xfId="0" applyFont="1" applyFill="1">
      <alignment vertical="top"/>
    </xf>
    <xf numFmtId="165" fontId="21" fillId="0" borderId="0" xfId="0" applyFont="1">
      <alignment vertical="top"/>
    </xf>
    <xf numFmtId="165" fontId="32" fillId="6" borderId="0" xfId="0" applyFont="1" applyFill="1">
      <alignment vertical="top"/>
    </xf>
    <xf numFmtId="165" fontId="9" fillId="0" borderId="0" xfId="19" applyFont="1" applyFill="1">
      <alignment vertical="top"/>
    </xf>
    <xf numFmtId="165" fontId="20" fillId="0" borderId="0" xfId="0" applyFont="1">
      <alignment vertical="top"/>
    </xf>
    <xf numFmtId="165" fontId="33" fillId="0" borderId="0" xfId="13" applyNumberFormat="1" applyFont="1" applyFill="1" applyAlignment="1">
      <alignment vertical="top"/>
    </xf>
    <xf numFmtId="165" fontId="34" fillId="0" borderId="0" xfId="0" applyFont="1">
      <alignment vertical="top"/>
    </xf>
    <xf numFmtId="175" fontId="9" fillId="0" borderId="0" xfId="20" applyNumberFormat="1" applyFont="1" applyFill="1" applyAlignment="1">
      <alignment horizontal="left" vertical="top"/>
    </xf>
    <xf numFmtId="165" fontId="9" fillId="0" borderId="0" xfId="20" applyFont="1" applyFill="1" applyAlignment="1">
      <alignment horizontal="left" vertical="center"/>
    </xf>
    <xf numFmtId="165" fontId="35" fillId="0" borderId="0" xfId="20" applyFont="1" applyFill="1">
      <alignment vertical="top"/>
    </xf>
    <xf numFmtId="165" fontId="36" fillId="0" borderId="0" xfId="0" applyFont="1">
      <alignment vertical="top"/>
    </xf>
    <xf numFmtId="165" fontId="17" fillId="6" borderId="0" xfId="13" applyNumberFormat="1" applyFont="1" applyFill="1" applyAlignment="1">
      <alignment horizontal="left" vertical="center"/>
    </xf>
    <xf numFmtId="165" fontId="12" fillId="0" borderId="0" xfId="0" applyFont="1" applyAlignment="1">
      <alignment horizontal="right" vertical="top"/>
    </xf>
    <xf numFmtId="165" fontId="37" fillId="0" borderId="0" xfId="20" applyFont="1" applyFill="1">
      <alignment vertical="top"/>
    </xf>
    <xf numFmtId="165" fontId="22" fillId="6" borderId="0" xfId="0" applyFont="1" applyFill="1" applyAlignment="1">
      <alignment vertical="center"/>
    </xf>
    <xf numFmtId="165" fontId="38" fillId="6" borderId="0" xfId="0" applyFont="1" applyFill="1">
      <alignment vertical="top"/>
    </xf>
    <xf numFmtId="165" fontId="39" fillId="0" borderId="0" xfId="0" applyFont="1">
      <alignment vertical="top"/>
    </xf>
    <xf numFmtId="165" fontId="8" fillId="0" borderId="0" xfId="20" applyFont="1">
      <alignment vertical="top"/>
    </xf>
    <xf numFmtId="165" fontId="9" fillId="0" borderId="0" xfId="20" applyFont="1">
      <alignment vertical="top"/>
    </xf>
    <xf numFmtId="165" fontId="41" fillId="0" borderId="0" xfId="20" applyFont="1">
      <alignment vertical="top"/>
    </xf>
    <xf numFmtId="165" fontId="41" fillId="0" borderId="0" xfId="1" applyFont="1">
      <alignment vertical="top"/>
    </xf>
    <xf numFmtId="165" fontId="9" fillId="0" borderId="0" xfId="1" applyFont="1">
      <alignment vertical="top"/>
    </xf>
    <xf numFmtId="167" fontId="9" fillId="0" borderId="0" xfId="4" applyFont="1">
      <alignment vertical="top"/>
    </xf>
    <xf numFmtId="165" fontId="42" fillId="0" borderId="0" xfId="20" applyFont="1">
      <alignment vertical="top"/>
    </xf>
    <xf numFmtId="167" fontId="42" fillId="0" borderId="0" xfId="4" applyFont="1">
      <alignment vertical="top"/>
    </xf>
    <xf numFmtId="171" fontId="9" fillId="0" borderId="0" xfId="1" applyNumberFormat="1" applyFont="1">
      <alignment vertical="top"/>
    </xf>
    <xf numFmtId="165" fontId="42" fillId="0" borderId="0" xfId="1" applyFont="1">
      <alignment vertical="top"/>
    </xf>
    <xf numFmtId="171" fontId="42" fillId="0" borderId="0" xfId="1" applyNumberFormat="1" applyFont="1">
      <alignment vertical="top"/>
    </xf>
    <xf numFmtId="167" fontId="41" fillId="0" borderId="0" xfId="4" applyFont="1">
      <alignment vertical="top"/>
    </xf>
    <xf numFmtId="14" fontId="11" fillId="0" borderId="0" xfId="0" applyNumberFormat="1" applyFont="1">
      <alignment vertical="top"/>
    </xf>
    <xf numFmtId="10" fontId="11" fillId="0" borderId="0" xfId="0" applyNumberFormat="1" applyFont="1">
      <alignment vertical="top"/>
    </xf>
    <xf numFmtId="165" fontId="11" fillId="5" borderId="0" xfId="0" applyFont="1" applyFill="1" applyAlignment="1">
      <alignment vertical="center"/>
    </xf>
    <xf numFmtId="165" fontId="11" fillId="0" borderId="0" xfId="0" applyFont="1" applyAlignment="1">
      <alignment vertical="center"/>
    </xf>
    <xf numFmtId="165" fontId="43" fillId="0" borderId="0" xfId="20" applyFont="1">
      <alignment vertical="top"/>
    </xf>
    <xf numFmtId="176" fontId="9" fillId="0" borderId="0" xfId="20" applyNumberFormat="1" applyFont="1">
      <alignment vertical="top"/>
    </xf>
    <xf numFmtId="176" fontId="9" fillId="0" borderId="0" xfId="35" applyNumberFormat="1" applyFont="1">
      <alignment vertical="top"/>
    </xf>
    <xf numFmtId="176" fontId="41" fillId="0" borderId="0" xfId="3" applyNumberFormat="1" applyFont="1">
      <alignment vertical="top"/>
    </xf>
    <xf numFmtId="176" fontId="9" fillId="0" borderId="0" xfId="3" applyNumberFormat="1" applyFont="1">
      <alignment vertical="top"/>
    </xf>
    <xf numFmtId="168" fontId="41" fillId="0" borderId="0" xfId="1" applyNumberFormat="1" applyFont="1">
      <alignment vertical="top"/>
    </xf>
    <xf numFmtId="168" fontId="9" fillId="0" borderId="0" xfId="1" applyNumberFormat="1" applyFont="1">
      <alignment vertical="top"/>
    </xf>
    <xf numFmtId="169" fontId="41" fillId="0" borderId="0" xfId="2" applyFont="1">
      <alignment vertical="top"/>
    </xf>
    <xf numFmtId="169" fontId="9" fillId="0" borderId="0" xfId="2" applyFont="1">
      <alignment vertical="top"/>
    </xf>
    <xf numFmtId="176" fontId="42" fillId="0" borderId="0" xfId="3" applyNumberFormat="1" applyFont="1">
      <alignment vertical="top"/>
    </xf>
    <xf numFmtId="168" fontId="42" fillId="0" borderId="0" xfId="1" applyNumberFormat="1" applyFont="1">
      <alignment vertical="top"/>
    </xf>
    <xf numFmtId="167" fontId="9" fillId="0" borderId="0" xfId="20" applyNumberFormat="1" applyFont="1">
      <alignment vertical="top"/>
    </xf>
    <xf numFmtId="167" fontId="12" fillId="8" borderId="1" xfId="17" applyNumberFormat="1" applyFont="1" applyFill="1" applyProtection="1">
      <alignment vertical="top"/>
      <protection locked="0"/>
    </xf>
    <xf numFmtId="165" fontId="12" fillId="8" borderId="1" xfId="18" applyFont="1" applyFill="1" applyProtection="1">
      <alignment vertical="top"/>
      <protection locked="0"/>
    </xf>
    <xf numFmtId="176" fontId="12" fillId="8" borderId="1" xfId="18" applyNumberFormat="1" applyFont="1" applyFill="1" applyProtection="1">
      <alignment vertical="top"/>
      <protection locked="0"/>
    </xf>
    <xf numFmtId="168" fontId="9" fillId="0" borderId="0" xfId="20" applyNumberFormat="1" applyFont="1">
      <alignment vertical="top"/>
    </xf>
    <xf numFmtId="168" fontId="12" fillId="8" borderId="1" xfId="18" applyNumberFormat="1" applyFont="1" applyFill="1" applyProtection="1">
      <alignment vertical="top"/>
      <protection locked="0"/>
    </xf>
    <xf numFmtId="169" fontId="9" fillId="0" borderId="0" xfId="20" applyNumberFormat="1" applyFont="1">
      <alignment vertical="top"/>
    </xf>
    <xf numFmtId="169" fontId="12" fillId="8" borderId="1" xfId="15" applyFont="1" applyFill="1" applyProtection="1">
      <alignment vertical="top"/>
      <protection locked="0"/>
    </xf>
    <xf numFmtId="177" fontId="9" fillId="0" borderId="0" xfId="45" applyNumberFormat="1" applyFont="1" applyFill="1" applyAlignment="1">
      <alignment horizontal="left" vertical="top"/>
    </xf>
    <xf numFmtId="165" fontId="15" fillId="0" borderId="0" xfId="20" applyFont="1">
      <alignment vertical="top"/>
    </xf>
    <xf numFmtId="165" fontId="14" fillId="0" borderId="0" xfId="19" applyFont="1" applyFill="1">
      <alignment vertical="top"/>
    </xf>
    <xf numFmtId="165" fontId="8" fillId="0" borderId="0" xfId="19" applyFont="1" applyFill="1">
      <alignment vertical="top"/>
    </xf>
    <xf numFmtId="165" fontId="8" fillId="0" borderId="0" xfId="20" applyFont="1" applyFill="1">
      <alignment vertical="top"/>
    </xf>
    <xf numFmtId="165" fontId="49" fillId="0" borderId="0" xfId="20" applyFont="1">
      <alignment vertical="top"/>
    </xf>
    <xf numFmtId="176" fontId="9" fillId="0" borderId="0" xfId="20" applyNumberFormat="1" applyFont="1" applyFill="1">
      <alignment vertical="top"/>
    </xf>
    <xf numFmtId="178" fontId="9" fillId="0" borderId="0" xfId="20" applyNumberFormat="1" applyFont="1" applyFill="1">
      <alignment vertical="top"/>
    </xf>
    <xf numFmtId="165" fontId="47" fillId="0" borderId="0" xfId="20" applyFont="1" applyFill="1">
      <alignment vertical="top"/>
    </xf>
    <xf numFmtId="165" fontId="44" fillId="0" borderId="0" xfId="20" applyFont="1" applyFill="1">
      <alignment vertical="top"/>
    </xf>
    <xf numFmtId="165" fontId="45" fillId="0" borderId="0" xfId="20" applyFont="1" applyFill="1">
      <alignment vertical="top"/>
    </xf>
    <xf numFmtId="165" fontId="50" fillId="0" borderId="0" xfId="20" applyFont="1" applyFill="1">
      <alignment vertical="top"/>
    </xf>
    <xf numFmtId="165" fontId="46" fillId="0" borderId="0" xfId="20" applyFont="1" applyFill="1">
      <alignment vertical="top"/>
    </xf>
    <xf numFmtId="165" fontId="48" fillId="0" borderId="0" xfId="20" applyFont="1" applyFill="1">
      <alignment vertical="top"/>
    </xf>
    <xf numFmtId="165" fontId="15" fillId="0" borderId="0" xfId="20" applyFont="1" applyFill="1">
      <alignment vertical="top"/>
    </xf>
    <xf numFmtId="165" fontId="51" fillId="0" borderId="0" xfId="20" applyFont="1">
      <alignment vertical="top"/>
    </xf>
    <xf numFmtId="175" fontId="11" fillId="5" borderId="0" xfId="0" applyNumberFormat="1" applyFont="1" applyFill="1">
      <alignment vertical="top"/>
    </xf>
  </cellXfs>
  <cellStyles count="46">
    <cellStyle name="Calcs" xfId="1" xr:uid="{00000000-0005-0000-0000-000000000000}"/>
    <cellStyle name="Calcs%" xfId="2" xr:uid="{00000000-0005-0000-0000-000001000000}"/>
    <cellStyle name="CalcsCurrency" xfId="3" xr:uid="{00000000-0005-0000-0000-000002000000}"/>
    <cellStyle name="CalcsDate" xfId="4" xr:uid="{00000000-0005-0000-0000-000003000000}"/>
    <cellStyle name="Comma 2" xfId="5" xr:uid="{00000000-0005-0000-0000-000004000000}"/>
    <cellStyle name="DateLong" xfId="6" xr:uid="{00000000-0005-0000-0000-000005000000}"/>
    <cellStyle name="DateLong 2" xfId="7" xr:uid="{00000000-0005-0000-0000-000006000000}"/>
    <cellStyle name="DateShort" xfId="8" xr:uid="{00000000-0005-0000-0000-000007000000}"/>
    <cellStyle name="DateShort 2" xfId="9" xr:uid="{00000000-0005-0000-0000-000008000000}"/>
    <cellStyle name="Factor" xfId="10" xr:uid="{00000000-0005-0000-0000-000009000000}"/>
    <cellStyle name="Factor 2" xfId="11" xr:uid="{00000000-0005-0000-0000-00000A000000}"/>
    <cellStyle name="Factor 3" xfId="12" xr:uid="{00000000-0005-0000-0000-00000B000000}"/>
    <cellStyle name="Hyperlink" xfId="13" builtinId="8"/>
    <cellStyle name="Hyperlink 2" xfId="14" xr:uid="{00000000-0005-0000-0000-00000D000000}"/>
    <cellStyle name="Input%" xfId="15" xr:uid="{00000000-0005-0000-0000-00000E000000}"/>
    <cellStyle name="InputCurrency" xfId="16" xr:uid="{00000000-0005-0000-0000-00000F000000}"/>
    <cellStyle name="InputDate" xfId="17" xr:uid="{00000000-0005-0000-0000-000010000000}"/>
    <cellStyle name="InputStyle" xfId="18" xr:uid="{00000000-0005-0000-0000-000011000000}"/>
    <cellStyle name="Normal" xfId="0" builtinId="0" customBuiltin="1"/>
    <cellStyle name="Normal 2" xfId="19" xr:uid="{00000000-0005-0000-0000-000013000000}"/>
    <cellStyle name="Normal 2 2" xfId="20" xr:uid="{00000000-0005-0000-0000-000014000000}"/>
    <cellStyle name="Normal 3" xfId="21" xr:uid="{00000000-0005-0000-0000-000015000000}"/>
    <cellStyle name="Normal 4" xfId="22" xr:uid="{00000000-0005-0000-0000-000016000000}"/>
    <cellStyle name="Normal 4 2" xfId="23" xr:uid="{00000000-0005-0000-0000-000017000000}"/>
    <cellStyle name="Normal 5" xfId="24" xr:uid="{00000000-0005-0000-0000-000018000000}"/>
    <cellStyle name="Normal 6" xfId="25" xr:uid="{00000000-0005-0000-0000-000019000000}"/>
    <cellStyle name="Normal 7" xfId="26" xr:uid="{00000000-0005-0000-0000-00001A000000}"/>
    <cellStyle name="Percent" xfId="27" builtinId="5" customBuiltin="1"/>
    <cellStyle name="Percent 2" xfId="28" xr:uid="{00000000-0005-0000-0000-00001C000000}"/>
    <cellStyle name="Percent 3" xfId="29" xr:uid="{00000000-0005-0000-0000-00001D000000}"/>
    <cellStyle name="Percent 4" xfId="30" xr:uid="{00000000-0005-0000-0000-00001E000000}"/>
    <cellStyle name="ReportSubTotal" xfId="31" xr:uid="{00000000-0005-0000-0000-00001F000000}"/>
    <cellStyle name="ReportTotal" xfId="32" xr:uid="{00000000-0005-0000-0000-000020000000}"/>
    <cellStyle name="Result" xfId="33" xr:uid="{00000000-0005-0000-0000-000021000000}"/>
    <cellStyle name="Result%" xfId="34" xr:uid="{00000000-0005-0000-0000-000022000000}"/>
    <cellStyle name="ResultCurrency" xfId="35" xr:uid="{00000000-0005-0000-0000-000023000000}"/>
    <cellStyle name="ResultDate" xfId="36" xr:uid="{00000000-0005-0000-0000-000024000000}"/>
    <cellStyle name="Style 1" xfId="37" xr:uid="{00000000-0005-0000-0000-000025000000}"/>
    <cellStyle name="Style 2" xfId="38" xr:uid="{00000000-0005-0000-0000-000026000000}"/>
    <cellStyle name="Style 3" xfId="39" xr:uid="{00000000-0005-0000-0000-000027000000}"/>
    <cellStyle name="Style 4" xfId="40" xr:uid="{00000000-0005-0000-0000-000028000000}"/>
    <cellStyle name="Style 5" xfId="41" xr:uid="{00000000-0005-0000-0000-000029000000}"/>
    <cellStyle name="Style 6" xfId="42" xr:uid="{00000000-0005-0000-0000-00002A000000}"/>
    <cellStyle name="Year" xfId="43" xr:uid="{00000000-0005-0000-0000-00002B000000}"/>
    <cellStyle name="Year 2" xfId="44" xr:uid="{00000000-0005-0000-0000-00002C000000}"/>
    <cellStyle name="Year 3" xfId="45" xr:uid="{00000000-0005-0000-0000-00002D000000}"/>
  </cellStyles>
  <dxfs count="84"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-0.24991607409894101"/>
        </patternFill>
      </fill>
    </dxf>
    <dxf>
      <fill>
        <patternFill>
          <bgColor theme="8"/>
        </patternFill>
      </fill>
    </dxf>
    <dxf>
      <fill>
        <patternFill>
          <bgColor indexed="51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-0.24991607409894101"/>
        </patternFill>
      </fill>
    </dxf>
    <dxf>
      <fill>
        <patternFill>
          <bgColor theme="8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-0.24991607409894101"/>
        </patternFill>
      </fill>
    </dxf>
    <dxf>
      <fill>
        <patternFill>
          <bgColor theme="8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-0.24991607409894101"/>
        </patternFill>
      </fill>
    </dxf>
    <dxf>
      <fill>
        <patternFill>
          <bgColor theme="8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-0.24991607409894101"/>
        </patternFill>
      </fill>
    </dxf>
    <dxf>
      <fill>
        <patternFill>
          <bgColor theme="8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-0.24991607409894101"/>
        </patternFill>
      </fill>
    </dxf>
    <dxf>
      <fill>
        <patternFill>
          <bgColor theme="8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-0.24991607409894101"/>
        </patternFill>
      </fill>
    </dxf>
    <dxf>
      <fill>
        <patternFill>
          <bgColor theme="8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-0.24991607409894101"/>
        </patternFill>
      </fill>
    </dxf>
    <dxf>
      <fill>
        <patternFill>
          <bgColor theme="8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-0.24991607409894101"/>
        </patternFill>
      </fill>
    </dxf>
    <dxf>
      <fill>
        <patternFill>
          <bgColor theme="8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-0.24991607409894101"/>
        </patternFill>
      </fill>
    </dxf>
    <dxf>
      <fill>
        <patternFill>
          <bgColor theme="8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-0.24991607409894101"/>
        </patternFill>
      </fill>
    </dxf>
    <dxf>
      <fill>
        <patternFill>
          <bgColor theme="8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-0.24991607409894101"/>
        </patternFill>
      </fill>
    </dxf>
    <dxf>
      <fill>
        <patternFill>
          <bgColor theme="8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numFmt numFmtId="19" formatCode="dd/mm/yyyy"/>
    </dxf>
  </dxfs>
  <tableStyles count="1" defaultTableStyle="TableStyleMedium2" defaultPivotStyle="PivotStyleLight16">
    <tableStyle name="Invisible" pivot="0" table="0" count="0" xr9:uid="{03889314-F5D7-4863-A3CA-F1423140F51E}"/>
  </tableStyles>
  <colors>
    <mruColors>
      <color rgb="FFFFFFCC"/>
      <color rgb="FF0071CE"/>
      <color rgb="FF46D9E8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8.2257858042640353E-2"/>
          <c:y val="7.6048706535393348E-2"/>
          <c:w val="0.85677543408390344"/>
          <c:h val="0.65526278766585022"/>
        </c:manualLayout>
      </c:layout>
      <c:barChart>
        <c:barDir val="col"/>
        <c:grouping val="stacked"/>
        <c:varyColors val="0"/>
        <c:ser>
          <c:idx val="0"/>
          <c:order val="0"/>
          <c:spPr>
            <a:noFill/>
            <a:ln>
              <a:noFill/>
            </a:ln>
          </c:spPr>
          <c:invertIfNegative val="0"/>
          <c:cat>
            <c:strRef>
              <c:f>'Bill impact waterfall'!$B$4:$B$14</c:f>
              <c:strCache>
                <c:ptCount val="11"/>
                <c:pt idx="0">
                  <c:v> Combined average bills PR19 </c:v>
                </c:pt>
                <c:pt idx="1">
                  <c:v> Average totex increase/(decrease) </c:v>
                </c:pt>
                <c:pt idx="2">
                  <c:v> PAYG rate </c:v>
                </c:pt>
                <c:pt idx="3">
                  <c:v> RCV </c:v>
                </c:pt>
                <c:pt idx="4">
                  <c:v> Run-off rates </c:v>
                </c:pt>
                <c:pt idx="5">
                  <c:v> WACC </c:v>
                </c:pt>
                <c:pt idx="6">
                  <c:v> Wholesale reconciliation items </c:v>
                </c:pt>
                <c:pt idx="7">
                  <c:v> Other wholesale items </c:v>
                </c:pt>
                <c:pt idx="8">
                  <c:v> Retail cost to serve </c:v>
                </c:pt>
                <c:pt idx="9">
                  <c:v> Customer numbers &amp; retail apportionment </c:v>
                </c:pt>
                <c:pt idx="10">
                  <c:v> Combined average bills PR24 </c:v>
                </c:pt>
              </c:strCache>
            </c:strRef>
          </c:cat>
          <c:val>
            <c:numRef>
              <c:f>'Bill impact waterfall'!$E$4:$E$14</c:f>
              <c:numCache>
                <c:formatCode>#,##0_);\(#,##0\);"-  ";" "@" "</c:formatCode>
                <c:ptCount val="11"/>
                <c:pt idx="1">
                  <c:v>472.38795616390502</c:v>
                </c:pt>
                <c:pt idx="2">
                  <c:v>521.60468477117854</c:v>
                </c:pt>
                <c:pt idx="3">
                  <c:v>521.60468477117854</c:v>
                </c:pt>
                <c:pt idx="4">
                  <c:v>537.28412519744541</c:v>
                </c:pt>
                <c:pt idx="5">
                  <c:v>537.28412519744541</c:v>
                </c:pt>
                <c:pt idx="6">
                  <c:v>569.55307433066889</c:v>
                </c:pt>
                <c:pt idx="7">
                  <c:v>577.13868860756202</c:v>
                </c:pt>
                <c:pt idx="8">
                  <c:v>577.13868860756202</c:v>
                </c:pt>
                <c:pt idx="9">
                  <c:v>558.41118449859823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6-4223-AB9F-31A55E2BAB00}"/>
            </c:ext>
          </c:extLst>
        </c:ser>
        <c:ser>
          <c:idx val="1"/>
          <c:order val="1"/>
          <c:spPr>
            <a:solidFill>
              <a:srgbClr val="0071CE"/>
            </a:solidFill>
            <a:ln>
              <a:noFill/>
            </a:ln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836-4223-AB9F-31A55E2BAB00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B836-4223-AB9F-31A55E2BAB00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836-4223-AB9F-31A55E2BAB00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B836-4223-AB9F-31A55E2BAB00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B836-4223-AB9F-31A55E2BAB00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B836-4223-AB9F-31A55E2BAB00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B836-4223-AB9F-31A55E2BAB00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B836-4223-AB9F-31A55E2BAB00}"/>
              </c:ext>
            </c:extLst>
          </c:dPt>
          <c:dLbls>
            <c:spPr>
              <a:noFill/>
              <a:ln>
                <a:noFill/>
              </a:ln>
            </c:spPr>
            <c:txPr>
              <a:bodyPr/>
              <a:lstStyle/>
              <a:p>
                <a:pPr>
                  <a:defRPr b="1">
                    <a:solidFill>
                      <a:schemeClr val="lt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'Bill impact waterfall'!$B$4:$B$14</c:f>
              <c:strCache>
                <c:ptCount val="11"/>
                <c:pt idx="0">
                  <c:v> Combined average bills PR19 </c:v>
                </c:pt>
                <c:pt idx="1">
                  <c:v> Average totex increase/(decrease) </c:v>
                </c:pt>
                <c:pt idx="2">
                  <c:v> PAYG rate </c:v>
                </c:pt>
                <c:pt idx="3">
                  <c:v> RCV </c:v>
                </c:pt>
                <c:pt idx="4">
                  <c:v> Run-off rates </c:v>
                </c:pt>
                <c:pt idx="5">
                  <c:v> WACC </c:v>
                </c:pt>
                <c:pt idx="6">
                  <c:v> Wholesale reconciliation items </c:v>
                </c:pt>
                <c:pt idx="7">
                  <c:v> Other wholesale items </c:v>
                </c:pt>
                <c:pt idx="8">
                  <c:v> Retail cost to serve </c:v>
                </c:pt>
                <c:pt idx="9">
                  <c:v> Customer numbers &amp; retail apportionment </c:v>
                </c:pt>
                <c:pt idx="10">
                  <c:v> Combined average bills PR24 </c:v>
                </c:pt>
              </c:strCache>
            </c:strRef>
          </c:cat>
          <c:val>
            <c:numRef>
              <c:f>'Bill impact waterfall'!$D$4:$D$14</c:f>
              <c:numCache>
                <c:formatCode>#,##0_);\(#,##0\);"-  ";" "@" "</c:formatCode>
                <c:ptCount val="11"/>
                <c:pt idx="0">
                  <c:v>472.38795616390502</c:v>
                </c:pt>
                <c:pt idx="10">
                  <c:v>558.41118449859823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836-4223-AB9F-31A55E2BAB00}"/>
            </c:ext>
          </c:extLst>
        </c:ser>
        <c:ser>
          <c:idx val="2"/>
          <c:order val="2"/>
          <c:spPr>
            <a:solidFill>
              <a:srgbClr val="D60037"/>
            </a:solidFill>
          </c:spPr>
          <c:invertIfNegative val="0"/>
          <c:cat>
            <c:strRef>
              <c:f>'Bill impact waterfall'!$B$4:$B$14</c:f>
              <c:strCache>
                <c:ptCount val="11"/>
                <c:pt idx="0">
                  <c:v> Combined average bills PR19 </c:v>
                </c:pt>
                <c:pt idx="1">
                  <c:v> Average totex increase/(decrease) </c:v>
                </c:pt>
                <c:pt idx="2">
                  <c:v> PAYG rate </c:v>
                </c:pt>
                <c:pt idx="3">
                  <c:v> RCV </c:v>
                </c:pt>
                <c:pt idx="4">
                  <c:v> Run-off rates </c:v>
                </c:pt>
                <c:pt idx="5">
                  <c:v> WACC </c:v>
                </c:pt>
                <c:pt idx="6">
                  <c:v> Wholesale reconciliation items </c:v>
                </c:pt>
                <c:pt idx="7">
                  <c:v> Other wholesale items </c:v>
                </c:pt>
                <c:pt idx="8">
                  <c:v> Retail cost to serve </c:v>
                </c:pt>
                <c:pt idx="9">
                  <c:v> Customer numbers &amp; retail apportionment </c:v>
                </c:pt>
                <c:pt idx="10">
                  <c:v> Combined average bills PR24 </c:v>
                </c:pt>
              </c:strCache>
            </c:strRef>
          </c:cat>
          <c:val>
            <c:numRef>
              <c:f>'Bill impact waterfall'!$F$4:$F$14</c:f>
              <c:numCache>
                <c:formatCode>#,##0_);\(#,##0\);"-  ";" "@" "</c:formatCode>
                <c:ptCount val="11"/>
                <c:pt idx="1">
                  <c:v>83.983823522995124</c:v>
                </c:pt>
                <c:pt idx="2">
                  <c:v>0</c:v>
                </c:pt>
                <c:pt idx="3">
                  <c:v>30.346119591613522</c:v>
                </c:pt>
                <c:pt idx="4">
                  <c:v>0</c:v>
                </c:pt>
                <c:pt idx="5">
                  <c:v>32.268949133223515</c:v>
                </c:pt>
                <c:pt idx="6">
                  <c:v>13.801390816220662</c:v>
                </c:pt>
                <c:pt idx="7">
                  <c:v>0</c:v>
                </c:pt>
                <c:pt idx="8">
                  <c:v>3.1034868761533616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836-4223-AB9F-31A55E2BAB00}"/>
            </c:ext>
          </c:extLst>
        </c:ser>
        <c:ser>
          <c:idx val="3"/>
          <c:order val="3"/>
          <c:invertIfNegative val="0"/>
          <c:cat>
            <c:strRef>
              <c:f>'Bill impact waterfall'!$B$4:$B$14</c:f>
              <c:strCache>
                <c:ptCount val="11"/>
                <c:pt idx="0">
                  <c:v> Combined average bills PR19 </c:v>
                </c:pt>
                <c:pt idx="1">
                  <c:v> Average totex increase/(decrease) </c:v>
                </c:pt>
                <c:pt idx="2">
                  <c:v> PAYG rate </c:v>
                </c:pt>
                <c:pt idx="3">
                  <c:v> RCV </c:v>
                </c:pt>
                <c:pt idx="4">
                  <c:v> Run-off rates </c:v>
                </c:pt>
                <c:pt idx="5">
                  <c:v> WACC </c:v>
                </c:pt>
                <c:pt idx="6">
                  <c:v> Wholesale reconciliation items </c:v>
                </c:pt>
                <c:pt idx="7">
                  <c:v> Other wholesale items </c:v>
                </c:pt>
                <c:pt idx="8">
                  <c:v> Retail cost to serve </c:v>
                </c:pt>
                <c:pt idx="9">
                  <c:v> Customer numbers &amp; retail apportionment </c:v>
                </c:pt>
                <c:pt idx="10">
                  <c:v> Combined average bills PR24 </c:v>
                </c:pt>
              </c:strCache>
            </c:strRef>
          </c:cat>
          <c:val>
            <c:numRef>
              <c:f>'Bill impact waterfall'!$G$4:$G$14</c:f>
              <c:numCache>
                <c:formatCode>#,##0_);\(#,##0\);"-  ";" "@" "</c:formatCode>
                <c:ptCount val="11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B836-4223-AB9F-31A55E2BAB00}"/>
            </c:ext>
          </c:extLst>
        </c:ser>
        <c:ser>
          <c:idx val="4"/>
          <c:order val="4"/>
          <c:spPr>
            <a:solidFill>
              <a:srgbClr val="62A70F"/>
            </a:solidFill>
          </c:spPr>
          <c:invertIfNegative val="0"/>
          <c:cat>
            <c:strRef>
              <c:f>'Bill impact waterfall'!$B$4:$B$14</c:f>
              <c:strCache>
                <c:ptCount val="11"/>
                <c:pt idx="0">
                  <c:v> Combined average bills PR19 </c:v>
                </c:pt>
                <c:pt idx="1">
                  <c:v> Average totex increase/(decrease) </c:v>
                </c:pt>
                <c:pt idx="2">
                  <c:v> PAYG rate </c:v>
                </c:pt>
                <c:pt idx="3">
                  <c:v> RCV </c:v>
                </c:pt>
                <c:pt idx="4">
                  <c:v> Run-off rates </c:v>
                </c:pt>
                <c:pt idx="5">
                  <c:v> WACC </c:v>
                </c:pt>
                <c:pt idx="6">
                  <c:v> Wholesale reconciliation items </c:v>
                </c:pt>
                <c:pt idx="7">
                  <c:v> Other wholesale items </c:v>
                </c:pt>
                <c:pt idx="8">
                  <c:v> Retail cost to serve </c:v>
                </c:pt>
                <c:pt idx="9">
                  <c:v> Customer numbers &amp; retail apportionment </c:v>
                </c:pt>
                <c:pt idx="10">
                  <c:v> Combined average bills PR24 </c:v>
                </c:pt>
              </c:strCache>
            </c:strRef>
          </c:cat>
          <c:val>
            <c:numRef>
              <c:f>'Bill impact waterfall'!$H$4:$H$14</c:f>
              <c:numCache>
                <c:formatCode>#,##0_);\(#,##0\);"-  ";" "@" "</c:formatCode>
                <c:ptCount val="11"/>
                <c:pt idx="1">
                  <c:v>0</c:v>
                </c:pt>
                <c:pt idx="2">
                  <c:v>34.7670949157216</c:v>
                </c:pt>
                <c:pt idx="3">
                  <c:v>0</c:v>
                </c:pt>
                <c:pt idx="4">
                  <c:v>14.666679165346604</c:v>
                </c:pt>
                <c:pt idx="5">
                  <c:v>0</c:v>
                </c:pt>
                <c:pt idx="6">
                  <c:v>0</c:v>
                </c:pt>
                <c:pt idx="7">
                  <c:v>6.2157765393274662</c:v>
                </c:pt>
                <c:pt idx="8">
                  <c:v>0</c:v>
                </c:pt>
                <c:pt idx="9">
                  <c:v>21.830990985117182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836-4223-AB9F-31A55E2BAB00}"/>
            </c:ext>
          </c:extLst>
        </c:ser>
        <c:ser>
          <c:idx val="5"/>
          <c:order val="5"/>
          <c:invertIfNegative val="0"/>
          <c:cat>
            <c:strRef>
              <c:f>'Bill impact waterfall'!$B$4:$B$14</c:f>
              <c:strCache>
                <c:ptCount val="11"/>
                <c:pt idx="0">
                  <c:v> Combined average bills PR19 </c:v>
                </c:pt>
                <c:pt idx="1">
                  <c:v> Average totex increase/(decrease) </c:v>
                </c:pt>
                <c:pt idx="2">
                  <c:v> PAYG rate </c:v>
                </c:pt>
                <c:pt idx="3">
                  <c:v> RCV </c:v>
                </c:pt>
                <c:pt idx="4">
                  <c:v> Run-off rates </c:v>
                </c:pt>
                <c:pt idx="5">
                  <c:v> WACC </c:v>
                </c:pt>
                <c:pt idx="6">
                  <c:v> Wholesale reconciliation items </c:v>
                </c:pt>
                <c:pt idx="7">
                  <c:v> Other wholesale items </c:v>
                </c:pt>
                <c:pt idx="8">
                  <c:v> Retail cost to serve </c:v>
                </c:pt>
                <c:pt idx="9">
                  <c:v> Customer numbers &amp; retail apportionment </c:v>
                </c:pt>
                <c:pt idx="10">
                  <c:v> Combined average bills PR24 </c:v>
                </c:pt>
              </c:strCache>
            </c:strRef>
          </c:cat>
          <c:val>
            <c:numRef>
              <c:f>'Bill impact waterfall'!$I$4:$I$14</c:f>
              <c:numCache>
                <c:formatCode>#,##0_);\(#,##0\);"-  ";" "@" "</c:formatCode>
                <c:ptCount val="11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B836-4223-AB9F-31A55E2BA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100"/>
        <c:axId val="855933983"/>
        <c:axId val="1"/>
      </c:barChart>
      <c:catAx>
        <c:axId val="85593398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 sz="1200" b="1">
                    <a:latin typeface="Calibri"/>
                  </a:rPr>
                  <a:t>Change in bill components</a:t>
                </a:r>
              </a:p>
            </c:rich>
          </c:tx>
          <c:layout>
            <c:manualLayout>
              <c:xMode val="edge"/>
              <c:yMode val="edge"/>
              <c:x val="0.45774334569871494"/>
              <c:y val="0.86485596544876842"/>
            </c:manualLayout>
          </c:layout>
          <c:overlay val="0"/>
          <c:spPr>
            <a:noFill/>
            <a:ln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6350">
            <a:solidFill>
              <a:schemeClr val="lt1">
                <a:lumMod val="85000"/>
              </a:schemeClr>
            </a:solidFill>
          </a:ln>
        </c:spPr>
        <c:txPr>
          <a:bodyPr rot="0" vert="horz"/>
          <a:lstStyle/>
          <a:p>
            <a:pPr>
              <a:defRPr sz="1050">
                <a:latin typeface="Calibri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1"/>
      </c:catAx>
      <c:valAx>
        <c:axId val="1"/>
        <c:scaling>
          <c:orientation val="minMax"/>
          <c:max val="600"/>
          <c:min val="0"/>
        </c:scaling>
        <c:delete val="0"/>
        <c:axPos val="l"/>
        <c:majorGridlines>
          <c:spPr>
            <a:ln w="6350">
              <a:solidFill>
                <a:schemeClr val="lt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 sz="1200" b="1">
                    <a:latin typeface="Calibri"/>
                  </a:rPr>
                  <a:t>Financial value of change, £ per customer</a:t>
                </a:r>
              </a:p>
            </c:rich>
          </c:tx>
          <c:layout>
            <c:manualLayout>
              <c:xMode val="edge"/>
              <c:yMode val="edge"/>
              <c:x val="1.5202026232707534E-2"/>
              <c:y val="0.25653035705807853"/>
            </c:manualLayout>
          </c:layout>
          <c:overlay val="0"/>
          <c:spPr>
            <a:noFill/>
            <a:ln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6350">
            <a:solidFill>
              <a:schemeClr val="lt1">
                <a:lumMod val="85000"/>
              </a:schemeClr>
            </a:solidFill>
          </a:ln>
        </c:spPr>
        <c:txPr>
          <a:bodyPr/>
          <a:lstStyle/>
          <a:p>
            <a:pPr>
              <a:defRPr>
                <a:latin typeface="Calibri"/>
              </a:defRPr>
            </a:pPr>
            <a:endParaRPr lang="en-US"/>
          </a:p>
        </c:txPr>
        <c:crossAx val="855933983"/>
        <c:crosses val="autoZero"/>
        <c:crossBetween val="between"/>
      </c:valAx>
      <c:spPr>
        <a:solidFill>
          <a:schemeClr val="lt1"/>
        </a:solidFill>
        <a:ln>
          <a:noFill/>
        </a:ln>
      </c:spPr>
    </c:plotArea>
    <c:plotVisOnly val="0"/>
    <c:dispBlanksAs val="gap"/>
    <c:showDLblsOverMax val="0"/>
  </c:chart>
  <c:spPr>
    <a:solidFill>
      <a:schemeClr val="lt1"/>
    </a:solidFill>
    <a:ln w="6350">
      <a:solidFill>
        <a:schemeClr val="dk1">
          <a:tint val="75000"/>
        </a:schemeClr>
      </a:solidFill>
    </a:ln>
  </c:spPr>
  <c:txPr>
    <a:bodyPr/>
    <a:lstStyle/>
    <a:p>
      <a:pPr>
        <a:defRPr>
          <a:latin typeface="Krub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8.2257858042640353E-2"/>
          <c:y val="7.6048706535393348E-2"/>
          <c:w val="0.85677543408390344"/>
          <c:h val="0.65526278766585022"/>
        </c:manualLayout>
      </c:layout>
      <c:barChart>
        <c:barDir val="col"/>
        <c:grouping val="stacked"/>
        <c:varyColors val="0"/>
        <c:ser>
          <c:idx val="0"/>
          <c:order val="0"/>
          <c:spPr>
            <a:noFill/>
            <a:ln>
              <a:noFill/>
            </a:ln>
          </c:spPr>
          <c:invertIfNegative val="0"/>
          <c:cat>
            <c:strRef>
              <c:f>'Bill impact waterfall (costs)'!$B$4:$B$18</c:f>
              <c:strCache>
                <c:ptCount val="15"/>
                <c:pt idx="0">
                  <c:v> Combined average bills PR19 </c:v>
                </c:pt>
                <c:pt idx="1">
                  <c:v> Base expenditure </c:v>
                </c:pt>
                <c:pt idx="2">
                  <c:v> Storm overflows </c:v>
                </c:pt>
                <c:pt idx="3">
                  <c:v> Nutrient removal </c:v>
                </c:pt>
                <c:pt idx="4">
                  <c:v> Resilience </c:v>
                </c:pt>
                <c:pt idx="5">
                  <c:v> Net Zero </c:v>
                </c:pt>
                <c:pt idx="6">
                  <c:v> WRMP </c:v>
                </c:pt>
                <c:pt idx="7">
                  <c:v> Environmental </c:v>
                </c:pt>
                <c:pt idx="8">
                  <c:v> Other enhancement costs </c:v>
                </c:pt>
                <c:pt idx="9">
                  <c:v> WACC </c:v>
                </c:pt>
                <c:pt idx="10">
                  <c:v> Wholesale reconciliation items </c:v>
                </c:pt>
                <c:pt idx="11">
                  <c:v> Other wholesale items </c:v>
                </c:pt>
                <c:pt idx="12">
                  <c:v> Retail cost to serve </c:v>
                </c:pt>
                <c:pt idx="13">
                  <c:v> Customer numbers &amp; retail apportionment </c:v>
                </c:pt>
                <c:pt idx="14">
                  <c:v> Combined average bills PR24 </c:v>
                </c:pt>
              </c:strCache>
            </c:strRef>
          </c:cat>
          <c:val>
            <c:numRef>
              <c:f>'Bill impact waterfall (costs)'!$E$4:$E$18</c:f>
              <c:numCache>
                <c:formatCode>#,##0_);\(#,##0\);"-  ";" "@" "</c:formatCode>
                <c:ptCount val="15"/>
                <c:pt idx="1">
                  <c:v>472.38795616390502</c:v>
                </c:pt>
                <c:pt idx="2">
                  <c:v>486.97300092760025</c:v>
                </c:pt>
                <c:pt idx="3">
                  <c:v>493.2757750866005</c:v>
                </c:pt>
                <c:pt idx="4">
                  <c:v>498.76873552712738</c:v>
                </c:pt>
                <c:pt idx="5">
                  <c:v>502.88756331154957</c:v>
                </c:pt>
                <c:pt idx="6">
                  <c:v>506.36814838592795</c:v>
                </c:pt>
                <c:pt idx="7">
                  <c:v>509.38606403968299</c:v>
                </c:pt>
                <c:pt idx="8">
                  <c:v>517.49404167300793</c:v>
                </c:pt>
                <c:pt idx="9">
                  <c:v>537.28412519744552</c:v>
                </c:pt>
                <c:pt idx="10">
                  <c:v>569.55307433066901</c:v>
                </c:pt>
                <c:pt idx="11">
                  <c:v>577.13868860756213</c:v>
                </c:pt>
                <c:pt idx="12">
                  <c:v>577.13868860756213</c:v>
                </c:pt>
                <c:pt idx="13">
                  <c:v>558.41118449859835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F3-4324-8301-BA9048F6099A}"/>
            </c:ext>
          </c:extLst>
        </c:ser>
        <c:ser>
          <c:idx val="1"/>
          <c:order val="1"/>
          <c:spPr>
            <a:solidFill>
              <a:srgbClr val="0071CE"/>
            </a:solidFill>
            <a:ln>
              <a:noFill/>
            </a:ln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EF3-4324-8301-BA9048F6099A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EF3-4324-8301-BA9048F6099A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EF3-4324-8301-BA9048F6099A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2EF3-4324-8301-BA9048F6099A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2EF3-4324-8301-BA9048F6099A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2EF3-4324-8301-BA9048F6099A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2EF3-4324-8301-BA9048F6099A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2EF3-4324-8301-BA9048F6099A}"/>
              </c:ext>
            </c:extLst>
          </c:dPt>
          <c:dLbls>
            <c:spPr>
              <a:noFill/>
              <a:ln>
                <a:noFill/>
              </a:ln>
            </c:spPr>
            <c:txPr>
              <a:bodyPr/>
              <a:lstStyle/>
              <a:p>
                <a:pPr>
                  <a:defRPr b="1">
                    <a:solidFill>
                      <a:schemeClr val="lt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'Bill impact waterfall (costs)'!$B$4:$B$18</c:f>
              <c:strCache>
                <c:ptCount val="15"/>
                <c:pt idx="0">
                  <c:v> Combined average bills PR19 </c:v>
                </c:pt>
                <c:pt idx="1">
                  <c:v> Base expenditure </c:v>
                </c:pt>
                <c:pt idx="2">
                  <c:v> Storm overflows </c:v>
                </c:pt>
                <c:pt idx="3">
                  <c:v> Nutrient removal </c:v>
                </c:pt>
                <c:pt idx="4">
                  <c:v> Resilience </c:v>
                </c:pt>
                <c:pt idx="5">
                  <c:v> Net Zero </c:v>
                </c:pt>
                <c:pt idx="6">
                  <c:v> WRMP </c:v>
                </c:pt>
                <c:pt idx="7">
                  <c:v> Environmental </c:v>
                </c:pt>
                <c:pt idx="8">
                  <c:v> Other enhancement costs </c:v>
                </c:pt>
                <c:pt idx="9">
                  <c:v> WACC </c:v>
                </c:pt>
                <c:pt idx="10">
                  <c:v> Wholesale reconciliation items </c:v>
                </c:pt>
                <c:pt idx="11">
                  <c:v> Other wholesale items </c:v>
                </c:pt>
                <c:pt idx="12">
                  <c:v> Retail cost to serve </c:v>
                </c:pt>
                <c:pt idx="13">
                  <c:v> Customer numbers &amp; retail apportionment </c:v>
                </c:pt>
                <c:pt idx="14">
                  <c:v> Combined average bills PR24 </c:v>
                </c:pt>
              </c:strCache>
            </c:strRef>
          </c:cat>
          <c:val>
            <c:numRef>
              <c:f>'Bill impact waterfall (costs)'!$D$4:$D$18</c:f>
              <c:numCache>
                <c:formatCode>#,##0_);\(#,##0\);"-  ";" "@" "</c:formatCode>
                <c:ptCount val="15"/>
                <c:pt idx="0">
                  <c:v>472.38795616390502</c:v>
                </c:pt>
                <c:pt idx="14">
                  <c:v>558.41118449859835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2EF3-4324-8301-BA9048F6099A}"/>
            </c:ext>
          </c:extLst>
        </c:ser>
        <c:ser>
          <c:idx val="2"/>
          <c:order val="2"/>
          <c:spPr>
            <a:solidFill>
              <a:srgbClr val="D60037"/>
            </a:solidFill>
          </c:spPr>
          <c:invertIfNegative val="0"/>
          <c:cat>
            <c:strRef>
              <c:f>'Bill impact waterfall (costs)'!$B$4:$B$18</c:f>
              <c:strCache>
                <c:ptCount val="15"/>
                <c:pt idx="0">
                  <c:v> Combined average bills PR19 </c:v>
                </c:pt>
                <c:pt idx="1">
                  <c:v> Base expenditure </c:v>
                </c:pt>
                <c:pt idx="2">
                  <c:v> Storm overflows </c:v>
                </c:pt>
                <c:pt idx="3">
                  <c:v> Nutrient removal </c:v>
                </c:pt>
                <c:pt idx="4">
                  <c:v> Resilience </c:v>
                </c:pt>
                <c:pt idx="5">
                  <c:v> Net Zero </c:v>
                </c:pt>
                <c:pt idx="6">
                  <c:v> WRMP </c:v>
                </c:pt>
                <c:pt idx="7">
                  <c:v> Environmental </c:v>
                </c:pt>
                <c:pt idx="8">
                  <c:v> Other enhancement costs </c:v>
                </c:pt>
                <c:pt idx="9">
                  <c:v> WACC </c:v>
                </c:pt>
                <c:pt idx="10">
                  <c:v> Wholesale reconciliation items </c:v>
                </c:pt>
                <c:pt idx="11">
                  <c:v> Other wholesale items </c:v>
                </c:pt>
                <c:pt idx="12">
                  <c:v> Retail cost to serve </c:v>
                </c:pt>
                <c:pt idx="13">
                  <c:v> Customer numbers &amp; retail apportionment </c:v>
                </c:pt>
                <c:pt idx="14">
                  <c:v> Combined average bills PR24 </c:v>
                </c:pt>
              </c:strCache>
            </c:strRef>
          </c:cat>
          <c:val>
            <c:numRef>
              <c:f>'Bill impact waterfall (costs)'!$F$4:$F$18</c:f>
              <c:numCache>
                <c:formatCode>#,##0_);\(#,##0\);"-  ";" "@" "</c:formatCode>
                <c:ptCount val="15"/>
                <c:pt idx="1">
                  <c:v>14.585044763695262</c:v>
                </c:pt>
                <c:pt idx="2">
                  <c:v>6.3027741590002275</c:v>
                </c:pt>
                <c:pt idx="3">
                  <c:v>5.4929604405268506</c:v>
                </c:pt>
                <c:pt idx="4">
                  <c:v>4.1188277844221775</c:v>
                </c:pt>
                <c:pt idx="5">
                  <c:v>3.4805850743784061</c:v>
                </c:pt>
                <c:pt idx="6">
                  <c:v>3.0179156537550567</c:v>
                </c:pt>
                <c:pt idx="7">
                  <c:v>8.1079776333249001</c:v>
                </c:pt>
                <c:pt idx="8">
                  <c:v>19.790083524437559</c:v>
                </c:pt>
                <c:pt idx="9">
                  <c:v>32.268949133223515</c:v>
                </c:pt>
                <c:pt idx="10">
                  <c:v>13.801390816220662</c:v>
                </c:pt>
                <c:pt idx="11">
                  <c:v>0</c:v>
                </c:pt>
                <c:pt idx="12">
                  <c:v>3.1034868761533616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EF3-4324-8301-BA9048F6099A}"/>
            </c:ext>
          </c:extLst>
        </c:ser>
        <c:ser>
          <c:idx val="3"/>
          <c:order val="3"/>
          <c:invertIfNegative val="0"/>
          <c:cat>
            <c:strRef>
              <c:f>'Bill impact waterfall (costs)'!$B$4:$B$18</c:f>
              <c:strCache>
                <c:ptCount val="15"/>
                <c:pt idx="0">
                  <c:v> Combined average bills PR19 </c:v>
                </c:pt>
                <c:pt idx="1">
                  <c:v> Base expenditure </c:v>
                </c:pt>
                <c:pt idx="2">
                  <c:v> Storm overflows </c:v>
                </c:pt>
                <c:pt idx="3">
                  <c:v> Nutrient removal </c:v>
                </c:pt>
                <c:pt idx="4">
                  <c:v> Resilience </c:v>
                </c:pt>
                <c:pt idx="5">
                  <c:v> Net Zero </c:v>
                </c:pt>
                <c:pt idx="6">
                  <c:v> WRMP </c:v>
                </c:pt>
                <c:pt idx="7">
                  <c:v> Environmental </c:v>
                </c:pt>
                <c:pt idx="8">
                  <c:v> Other enhancement costs </c:v>
                </c:pt>
                <c:pt idx="9">
                  <c:v> WACC </c:v>
                </c:pt>
                <c:pt idx="10">
                  <c:v> Wholesale reconciliation items </c:v>
                </c:pt>
                <c:pt idx="11">
                  <c:v> Other wholesale items </c:v>
                </c:pt>
                <c:pt idx="12">
                  <c:v> Retail cost to serve </c:v>
                </c:pt>
                <c:pt idx="13">
                  <c:v> Customer numbers &amp; retail apportionment </c:v>
                </c:pt>
                <c:pt idx="14">
                  <c:v> Combined average bills PR24 </c:v>
                </c:pt>
              </c:strCache>
            </c:strRef>
          </c:cat>
          <c:val>
            <c:numRef>
              <c:f>'Bill impact waterfall (costs)'!$G$4:$G$18</c:f>
              <c:numCache>
                <c:formatCode>#,##0_);\(#,##0\);"-  ";" "@" "</c:formatCode>
                <c:ptCount val="1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2EF3-4324-8301-BA9048F6099A}"/>
            </c:ext>
          </c:extLst>
        </c:ser>
        <c:ser>
          <c:idx val="4"/>
          <c:order val="4"/>
          <c:spPr>
            <a:solidFill>
              <a:srgbClr val="62A70F"/>
            </a:solidFill>
          </c:spPr>
          <c:invertIfNegative val="0"/>
          <c:cat>
            <c:strRef>
              <c:f>'Bill impact waterfall (costs)'!$B$4:$B$18</c:f>
              <c:strCache>
                <c:ptCount val="15"/>
                <c:pt idx="0">
                  <c:v> Combined average bills PR19 </c:v>
                </c:pt>
                <c:pt idx="1">
                  <c:v> Base expenditure </c:v>
                </c:pt>
                <c:pt idx="2">
                  <c:v> Storm overflows </c:v>
                </c:pt>
                <c:pt idx="3">
                  <c:v> Nutrient removal </c:v>
                </c:pt>
                <c:pt idx="4">
                  <c:v> Resilience </c:v>
                </c:pt>
                <c:pt idx="5">
                  <c:v> Net Zero </c:v>
                </c:pt>
                <c:pt idx="6">
                  <c:v> WRMP </c:v>
                </c:pt>
                <c:pt idx="7">
                  <c:v> Environmental </c:v>
                </c:pt>
                <c:pt idx="8">
                  <c:v> Other enhancement costs </c:v>
                </c:pt>
                <c:pt idx="9">
                  <c:v> WACC </c:v>
                </c:pt>
                <c:pt idx="10">
                  <c:v> Wholesale reconciliation items </c:v>
                </c:pt>
                <c:pt idx="11">
                  <c:v> Other wholesale items </c:v>
                </c:pt>
                <c:pt idx="12">
                  <c:v> Retail cost to serve </c:v>
                </c:pt>
                <c:pt idx="13">
                  <c:v> Customer numbers &amp; retail apportionment </c:v>
                </c:pt>
                <c:pt idx="14">
                  <c:v> Combined average bills PR24 </c:v>
                </c:pt>
              </c:strCache>
            </c:strRef>
          </c:cat>
          <c:val>
            <c:numRef>
              <c:f>'Bill impact waterfall (costs)'!$H$4:$H$18</c:f>
              <c:numCache>
                <c:formatCode>#,##0_);\(#,##0\);"-  ";" "@" "</c:formatCode>
                <c:ptCount val="1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6.2157765393274662</c:v>
                </c:pt>
                <c:pt idx="12">
                  <c:v>0</c:v>
                </c:pt>
                <c:pt idx="13">
                  <c:v>21.830990985117182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2EF3-4324-8301-BA9048F6099A}"/>
            </c:ext>
          </c:extLst>
        </c:ser>
        <c:ser>
          <c:idx val="5"/>
          <c:order val="5"/>
          <c:invertIfNegative val="0"/>
          <c:cat>
            <c:strRef>
              <c:f>'Bill impact waterfall (costs)'!$B$4:$B$18</c:f>
              <c:strCache>
                <c:ptCount val="15"/>
                <c:pt idx="0">
                  <c:v> Combined average bills PR19 </c:v>
                </c:pt>
                <c:pt idx="1">
                  <c:v> Base expenditure </c:v>
                </c:pt>
                <c:pt idx="2">
                  <c:v> Storm overflows </c:v>
                </c:pt>
                <c:pt idx="3">
                  <c:v> Nutrient removal </c:v>
                </c:pt>
                <c:pt idx="4">
                  <c:v> Resilience </c:v>
                </c:pt>
                <c:pt idx="5">
                  <c:v> Net Zero </c:v>
                </c:pt>
                <c:pt idx="6">
                  <c:v> WRMP </c:v>
                </c:pt>
                <c:pt idx="7">
                  <c:v> Environmental </c:v>
                </c:pt>
                <c:pt idx="8">
                  <c:v> Other enhancement costs </c:v>
                </c:pt>
                <c:pt idx="9">
                  <c:v> WACC </c:v>
                </c:pt>
                <c:pt idx="10">
                  <c:v> Wholesale reconciliation items </c:v>
                </c:pt>
                <c:pt idx="11">
                  <c:v> Other wholesale items </c:v>
                </c:pt>
                <c:pt idx="12">
                  <c:v> Retail cost to serve </c:v>
                </c:pt>
                <c:pt idx="13">
                  <c:v> Customer numbers &amp; retail apportionment </c:v>
                </c:pt>
                <c:pt idx="14">
                  <c:v> Combined average bills PR24 </c:v>
                </c:pt>
              </c:strCache>
            </c:strRef>
          </c:cat>
          <c:val>
            <c:numRef>
              <c:f>'Bill impact waterfall (costs)'!$I$4:$I$18</c:f>
              <c:numCache>
                <c:formatCode>#,##0_);\(#,##0\);"-  ";" "@" "</c:formatCode>
                <c:ptCount val="1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2EF3-4324-8301-BA9048F609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100"/>
        <c:axId val="855938783"/>
        <c:axId val="1"/>
      </c:barChart>
      <c:catAx>
        <c:axId val="85593878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 sz="1200" b="1">
                    <a:latin typeface="Calibri"/>
                  </a:rPr>
                  <a:t>Change in bill components</a:t>
                </a:r>
              </a:p>
            </c:rich>
          </c:tx>
          <c:layout>
            <c:manualLayout>
              <c:xMode val="edge"/>
              <c:yMode val="edge"/>
              <c:x val="0.45406565870060256"/>
              <c:y val="0.87020901864265321"/>
            </c:manualLayout>
          </c:layout>
          <c:overlay val="0"/>
          <c:spPr>
            <a:noFill/>
            <a:ln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6350">
            <a:solidFill>
              <a:schemeClr val="lt1">
                <a:lumMod val="85000"/>
              </a:schemeClr>
            </a:solidFill>
          </a:ln>
        </c:spPr>
        <c:txPr>
          <a:bodyPr rot="0" vert="horz"/>
          <a:lstStyle/>
          <a:p>
            <a:pPr>
              <a:defRPr sz="1050">
                <a:latin typeface="Calibri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1"/>
      </c:catAx>
      <c:valAx>
        <c:axId val="1"/>
        <c:scaling>
          <c:orientation val="minMax"/>
          <c:max val="600"/>
        </c:scaling>
        <c:delete val="0"/>
        <c:axPos val="l"/>
        <c:majorGridlines>
          <c:spPr>
            <a:ln w="6350">
              <a:solidFill>
                <a:schemeClr val="lt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 sz="1200" b="1">
                    <a:latin typeface="Calibri"/>
                  </a:rPr>
                  <a:t>Financial value of change, £ per customer</a:t>
                </a:r>
              </a:p>
            </c:rich>
          </c:tx>
          <c:layout>
            <c:manualLayout>
              <c:xMode val="edge"/>
              <c:yMode val="edge"/>
              <c:x val="1.5202026232707534E-2"/>
              <c:y val="0.25653035705807853"/>
            </c:manualLayout>
          </c:layout>
          <c:overlay val="0"/>
          <c:spPr>
            <a:noFill/>
            <a:ln>
              <a:noFill/>
            </a:ln>
          </c:spPr>
        </c:title>
        <c:numFmt formatCode="#,##0_);\(#,##0\);&quot;-  &quot;;&quot; &quot;@&quot; &quot;" sourceLinked="1"/>
        <c:majorTickMark val="out"/>
        <c:minorTickMark val="none"/>
        <c:tickLblPos val="nextTo"/>
        <c:spPr>
          <a:ln w="6350">
            <a:solidFill>
              <a:schemeClr val="lt1">
                <a:lumMod val="85000"/>
              </a:schemeClr>
            </a:solidFill>
          </a:ln>
        </c:spPr>
        <c:txPr>
          <a:bodyPr/>
          <a:lstStyle/>
          <a:p>
            <a:pPr>
              <a:defRPr>
                <a:latin typeface="Calibri"/>
              </a:defRPr>
            </a:pPr>
            <a:endParaRPr lang="en-US"/>
          </a:p>
        </c:txPr>
        <c:crossAx val="855938783"/>
        <c:crosses val="autoZero"/>
        <c:crossBetween val="between"/>
      </c:valAx>
      <c:spPr>
        <a:solidFill>
          <a:schemeClr val="lt1"/>
        </a:solidFill>
        <a:ln>
          <a:noFill/>
        </a:ln>
      </c:spPr>
    </c:plotArea>
    <c:plotVisOnly val="0"/>
    <c:dispBlanksAs val="gap"/>
    <c:showDLblsOverMax val="0"/>
  </c:chart>
  <c:spPr>
    <a:solidFill>
      <a:schemeClr val="lt1"/>
    </a:solidFill>
    <a:ln w="6350">
      <a:solidFill>
        <a:schemeClr val="dk1">
          <a:tint val="75000"/>
        </a:schemeClr>
      </a:solidFill>
    </a:ln>
  </c:spPr>
  <c:txPr>
    <a:bodyPr/>
    <a:lstStyle/>
    <a:p>
      <a:pPr>
        <a:defRPr>
          <a:latin typeface="Krub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29391</xdr:colOff>
      <xdr:row>11</xdr:row>
      <xdr:rowOff>122464</xdr:rowOff>
    </xdr:from>
    <xdr:to>
      <xdr:col>8</xdr:col>
      <xdr:colOff>595820</xdr:colOff>
      <xdr:row>69</xdr:row>
      <xdr:rowOff>47625</xdr:rowOff>
    </xdr:to>
    <xdr:sp macro="" textlink="">
      <xdr:nvSpPr>
        <xdr:cNvPr id="4" name="TextBox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695992" y="2383699"/>
          <a:ext cx="9661985" cy="7894411"/>
        </a:xfrm>
        <a:prstGeom prst="rect">
          <a:avLst/>
        </a:prstGeom>
        <a:noFill/>
        <a:ln>
          <a:noFill/>
        </a:ln>
      </xdr:spPr>
      <xdr:txBody>
        <a:bodyPr lIns="27432" tIns="22860" rIns="0" bIns="0" rtlCol="0"/>
        <a:lstStyle/>
        <a:p>
          <a:pPr algn="l"/>
          <a:r>
            <a:rPr lang="en-US" sz="1000" b="1">
              <a:latin typeface="+mn-lt"/>
            </a:rPr>
            <a:t>Summary of the model:</a:t>
          </a:r>
          <a:endParaRPr lang="en-US" sz="1000">
            <a:latin typeface="+mn-lt"/>
          </a:endParaRPr>
        </a:p>
        <a:p>
          <a:pPr algn="l"/>
          <a:endParaRPr lang="en-US" sz="1000" b="1">
            <a:solidFill>
              <a:srgbClr val="000000"/>
            </a:solidFill>
            <a:latin typeface="+mn-lt"/>
          </a:endParaRPr>
        </a:p>
        <a:p>
          <a:pPr algn="l"/>
          <a:r>
            <a:rPr lang="en-US" sz="1000">
              <a:latin typeface="+mn-lt"/>
            </a:rPr>
            <a:t>For PR24, we require companies to provide information on the movement in bills from PR19 to PR24 with their business plans. </a:t>
          </a:r>
        </a:p>
        <a:p>
          <a:pPr algn="l"/>
          <a:endParaRPr lang="en-US" sz="1000">
            <a:latin typeface="+mn-lt"/>
          </a:endParaRPr>
        </a:p>
        <a:p>
          <a:pPr algn="l"/>
          <a:r>
            <a:rPr lang="en-US" sz="1000">
              <a:latin typeface="+mn-lt"/>
            </a:rPr>
            <a:t>This simple bill waterfall model shows the key drivers in bill movements that companies should use to submit its information on.</a:t>
          </a:r>
        </a:p>
        <a:p>
          <a:pPr algn="l"/>
          <a:endParaRPr lang="en-US" sz="1000">
            <a:latin typeface="+mn-lt"/>
          </a:endParaRPr>
        </a:p>
        <a:p>
          <a:pPr algn="l"/>
          <a:endParaRPr lang="en-US" sz="1000">
            <a:latin typeface="+mn-lt"/>
          </a:endParaRPr>
        </a:p>
        <a:p>
          <a:pPr algn="l"/>
          <a:r>
            <a:rPr lang="en-US" sz="1000" b="1">
              <a:latin typeface="+mn-lt"/>
            </a:rPr>
            <a:t>Instructions:</a:t>
          </a:r>
        </a:p>
        <a:p>
          <a:pPr algn="l"/>
          <a:endParaRPr lang="en-US" sz="1000" b="1">
            <a:latin typeface="+mn-lt"/>
          </a:endParaRPr>
        </a:p>
        <a:p>
          <a:pPr algn="l"/>
          <a:r>
            <a:rPr lang="en-US" sz="1000">
              <a:latin typeface="+mn-lt"/>
            </a:rPr>
            <a:t>Companies need to populate the InpS sheet with data values consistent with its PR19 final determination and its PR24 financial model.</a:t>
          </a:r>
        </a:p>
        <a:p>
          <a:pPr algn="l"/>
          <a:endParaRPr lang="en-US" sz="1000">
            <a:latin typeface="+mn-lt"/>
          </a:endParaRPr>
        </a:p>
        <a:p>
          <a:pPr algn="l"/>
          <a:r>
            <a:rPr lang="en-US" sz="1000">
              <a:latin typeface="+mn-lt"/>
            </a:rPr>
            <a:t>PR19 values should be input in 2017-18 prices (unless stated otherwise). PR24 values should be input in 2022-23 prices.</a:t>
          </a:r>
        </a:p>
        <a:p>
          <a:pPr algn="l"/>
          <a:endParaRPr lang="en-US" sz="1000" b="1">
            <a:latin typeface="+mn-lt"/>
          </a:endParaRPr>
        </a:p>
        <a:p>
          <a:pPr algn="l"/>
          <a:endParaRPr lang="en-US" sz="1000" b="1">
            <a:latin typeface="+mn-lt"/>
          </a:endParaRPr>
        </a:p>
        <a:p>
          <a:pPr algn="l"/>
          <a:r>
            <a:rPr lang="en-US" sz="1000" b="1">
              <a:latin typeface="+mn-lt"/>
            </a:rPr>
            <a:t>Quality assurance: </a:t>
          </a:r>
        </a:p>
        <a:p>
          <a:pPr algn="l"/>
          <a:endParaRPr lang="en-US" sz="1000">
            <a:latin typeface="+mn-lt"/>
          </a:endParaRPr>
        </a:p>
        <a:p>
          <a:pPr algn="l"/>
          <a:r>
            <a:rPr lang="en-US" sz="1000">
              <a:latin typeface="+mn-lt"/>
            </a:rPr>
            <a:t>The model has been subject to Ofwat internal quality assurance.</a:t>
          </a:r>
        </a:p>
        <a:p>
          <a:pPr algn="l"/>
          <a:endParaRPr lang="en-US" sz="1000">
            <a:latin typeface="+mn-lt"/>
          </a:endParaRPr>
        </a:p>
        <a:p>
          <a:pPr algn="l"/>
          <a:endParaRPr lang="en-US" sz="1000">
            <a:latin typeface="+mn-lt"/>
          </a:endParaRPr>
        </a:p>
        <a:p>
          <a:pPr algn="l"/>
          <a:r>
            <a:rPr lang="en-US" sz="1000" b="1">
              <a:latin typeface="+mn-lt"/>
            </a:rPr>
            <a:t>Disclaimer:</a:t>
          </a:r>
        </a:p>
        <a:p>
          <a:pPr algn="l"/>
          <a:endParaRPr lang="en-US" sz="1000">
            <a:latin typeface="+mn-lt"/>
          </a:endParaRPr>
        </a:p>
        <a:p>
          <a:pPr algn="l"/>
          <a:r>
            <a:rPr lang="en-US" sz="1000">
              <a:latin typeface="+mn-lt"/>
            </a:rPr>
            <a:t>Test data is contained in the model. This is purely for test purposes and should not be taken as a statement of Ofwat policy.</a:t>
          </a:r>
        </a:p>
        <a:p>
          <a:pPr algn="l"/>
          <a:r>
            <a:rPr lang="en-US" sz="1000">
              <a:latin typeface="+mn-lt"/>
            </a:rPr>
            <a:t>  </a:t>
          </a:r>
          <a:endParaRPr lang="en-US" sz="1000" b="1">
            <a:solidFill>
              <a:srgbClr val="000000"/>
            </a:solidFill>
            <a:latin typeface="+mn-lt"/>
          </a:endParaRPr>
        </a:p>
        <a:p>
          <a:pPr algn="l"/>
          <a:endParaRPr lang="en-US" sz="1100" b="1">
            <a:solidFill>
              <a:srgbClr val="000000"/>
            </a:solidFill>
            <a:latin typeface="+mn-lt"/>
          </a:endParaRPr>
        </a:p>
        <a:p>
          <a:pPr algn="l"/>
          <a:endParaRPr lang="en-US" sz="1100">
            <a:solidFill>
              <a:srgbClr val="000000"/>
            </a:solidFill>
            <a:latin typeface="+mn-lt"/>
          </a:endParaRPr>
        </a:p>
        <a:p>
          <a:pPr algn="l"/>
          <a:endParaRPr lang="en-US" sz="1000">
            <a:solidFill>
              <a:srgbClr val="000000"/>
            </a:solidFill>
            <a:latin typeface="+mn-lt"/>
          </a:endParaRPr>
        </a:p>
      </xdr:txBody>
    </xdr:sp>
    <xdr:clientData/>
  </xdr:twoCellAnchor>
  <xdr:twoCellAnchor editAs="oneCell">
    <xdr:from>
      <xdr:col>6</xdr:col>
      <xdr:colOff>514351</xdr:colOff>
      <xdr:row>1</xdr:row>
      <xdr:rowOff>9524</xdr:rowOff>
    </xdr:from>
    <xdr:to>
      <xdr:col>9</xdr:col>
      <xdr:colOff>343349</xdr:colOff>
      <xdr:row>5</xdr:row>
      <xdr:rowOff>65059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43306" y="400684"/>
          <a:ext cx="1828802" cy="8778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440513</xdr:colOff>
      <xdr:row>2</xdr:row>
      <xdr:rowOff>17327</xdr:rowOff>
    </xdr:from>
    <xdr:to>
      <xdr:col>16384</xdr:col>
      <xdr:colOff>74767</xdr:colOff>
      <xdr:row>41</xdr:row>
      <xdr:rowOff>78424</xdr:rowOff>
    </xdr:to>
    <xdr:graphicFrame macro="">
      <xdr:nvGraphicFramePr>
        <xdr:cNvPr id="8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181919</xdr:colOff>
      <xdr:row>2</xdr:row>
      <xdr:rowOff>23200</xdr:rowOff>
    </xdr:from>
    <xdr:to>
      <xdr:col>42</xdr:col>
      <xdr:colOff>267652</xdr:colOff>
      <xdr:row>38</xdr:row>
      <xdr:rowOff>16986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0.07904</cdr:x>
      <cdr:y>0.07652</cdr:y>
    </cdr:from>
    <cdr:to>
      <cdr:x>0.59787</cdr:x>
      <cdr:y>0.82508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A65BA64F-0C29-130D-CD1C-F3A2D62D4E38}"/>
            </a:ext>
          </a:extLst>
        </cdr:cNvPr>
        <cdr:cNvSpPr/>
      </cdr:nvSpPr>
      <cdr:spPr>
        <a:xfrm xmlns:a="http://schemas.openxmlformats.org/drawingml/2006/main">
          <a:off x="1359702" y="510200"/>
          <a:ext cx="8924925" cy="4991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2225">
          <a:solidFill>
            <a:schemeClr val="accent2"/>
          </a:solidFill>
          <a:prstDash val="dash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F20AF70-7E90-4B47-BC3F-3DAE24F3A6F3}" name="tbl_PowerBiSourceTable" displayName="tbl_PowerBiSourceTable" ref="A1:L197" totalsRowShown="0">
  <autoFilter ref="A1:L197" xr:uid="{6F20AF70-7E90-4B47-BC3F-3DAE24F3A6F3}"/>
  <tableColumns count="12">
    <tableColumn id="1" xr3:uid="{CB74AFA6-6E0C-453E-84CF-22A3FE51590A}" name="Name"/>
    <tableColumn id="2" xr3:uid="{73442B65-6257-4B0C-9761-0A00148939BD}" name="Report name"/>
    <tableColumn id="3" xr3:uid="{9949BCF2-213D-4168-9D0A-C6A6E7D24DA6}" name="Index"/>
    <tableColumn id="4" xr3:uid="{8CAE271E-5FAC-48F5-BE0F-A1B3F593139B}" name="Date" dataDxfId="83"/>
    <tableColumn id="5" xr3:uid="{54E27AA5-E968-4D70-8006-C62A756DA6A9}" name="ValueDate"/>
    <tableColumn id="6" xr3:uid="{33A56F0D-CA94-4C37-AA9C-5354BF4347C0}" name="ValuePercentage"/>
    <tableColumn id="7" xr3:uid="{B018215F-AD41-4260-8AEC-B02277F7AB33}" name="ValueNumber"/>
    <tableColumn id="8" xr3:uid="{5E2FC7C7-2EC4-4BB8-8EC9-2DFB5D3F3117}" name="ValueText"/>
    <tableColumn id="9" xr3:uid="{E1466F6B-8191-4370-BC4E-29FDD3D6D73C}" name="Heading level"/>
    <tableColumn id="10" xr3:uid="{07735475-CCCE-488A-A360-3EACB7978510}" name="Reference"/>
    <tableColumn id="11" xr3:uid="{79A43E6A-7C67-43DB-A7E3-D3161FBCE157}" name="Column1"/>
    <tableColumn id="12" xr3:uid="{1C3FE328-6349-46C6-99E7-8FA2F99F2728}" name="Column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2.bin"/><Relationship Id="rId2" Type="http://schemas.openxmlformats.org/officeDocument/2006/relationships/customProperty" Target="../customProperty21.bin"/><Relationship Id="rId1" Type="http://schemas.openxmlformats.org/officeDocument/2006/relationships/customProperty" Target="../customProperty2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5.bin"/><Relationship Id="rId2" Type="http://schemas.openxmlformats.org/officeDocument/2006/relationships/customProperty" Target="../customProperty24.bin"/><Relationship Id="rId1" Type="http://schemas.openxmlformats.org/officeDocument/2006/relationships/customProperty" Target="../customProperty23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8.bin"/><Relationship Id="rId2" Type="http://schemas.openxmlformats.org/officeDocument/2006/relationships/customProperty" Target="../customProperty27.bin"/><Relationship Id="rId1" Type="http://schemas.openxmlformats.org/officeDocument/2006/relationships/customProperty" Target="../customProperty26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1.bin"/><Relationship Id="rId2" Type="http://schemas.openxmlformats.org/officeDocument/2006/relationships/customProperty" Target="../customProperty30.bin"/><Relationship Id="rId1" Type="http://schemas.openxmlformats.org/officeDocument/2006/relationships/customProperty" Target="../customProperty2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2.bin"/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4.bin"/><Relationship Id="rId1" Type="http://schemas.openxmlformats.org/officeDocument/2006/relationships/customProperty" Target="../customProperty3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customProperty" Target="../customProperty3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customProperty" Target="../customProperty3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37.bin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2.bin"/><Relationship Id="rId1" Type="http://schemas.openxmlformats.org/officeDocument/2006/relationships/hyperlink" Target="mailto:PR24@ofwat.gov.uk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6.bin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3.bin"/><Relationship Id="rId4" Type="http://schemas.openxmlformats.org/officeDocument/2006/relationships/customProperty" Target="../customProperty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0.bin"/><Relationship Id="rId2" Type="http://schemas.openxmlformats.org/officeDocument/2006/relationships/customProperty" Target="../customProperty9.bin"/><Relationship Id="rId1" Type="http://schemas.openxmlformats.org/officeDocument/2006/relationships/customProperty" Target="../customProperty8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3.bin"/><Relationship Id="rId2" Type="http://schemas.openxmlformats.org/officeDocument/2006/relationships/customProperty" Target="../customProperty12.bin"/><Relationship Id="rId1" Type="http://schemas.openxmlformats.org/officeDocument/2006/relationships/customProperty" Target="../customProperty1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6.bin"/><Relationship Id="rId2" Type="http://schemas.openxmlformats.org/officeDocument/2006/relationships/customProperty" Target="../customProperty15.bin"/><Relationship Id="rId1" Type="http://schemas.openxmlformats.org/officeDocument/2006/relationships/customProperty" Target="../customProperty1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9.bin"/><Relationship Id="rId2" Type="http://schemas.openxmlformats.org/officeDocument/2006/relationships/customProperty" Target="../customProperty18.bin"/><Relationship Id="rId1" Type="http://schemas.openxmlformats.org/officeDocument/2006/relationships/customProperty" Target="../customProperty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"/>
  <sheetViews>
    <sheetView workbookViewId="0"/>
  </sheetViews>
  <sheetFormatPr defaultColWidth="0" defaultRowHeight="10" x14ac:dyDescent="0.2"/>
  <cols>
    <col min="1" max="12" width="9.33203125" customWidth="1"/>
    <col min="13" max="13" width="9.109375" hidden="1" customWidth="1"/>
    <col min="14" max="16384" width="9.109375" hidden="1"/>
  </cols>
  <sheetData>
    <row r="1" spans="1:2" x14ac:dyDescent="0.2">
      <c r="A1" t="s">
        <v>0</v>
      </c>
      <c r="B1" t="s">
        <v>1</v>
      </c>
    </row>
  </sheetData>
  <pageMargins left="0.7" right="0.7" top="0.75" bottom="0.75" header="0.3" footer="0.3"/>
  <pageSetup paperSize="9" orientation="portrait" r:id="rId1"/>
  <customProperties>
    <customPr name="MMSheetType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  <pageSetUpPr fitToPage="1"/>
  </sheetPr>
  <dimension ref="A1:S97"/>
  <sheetViews>
    <sheetView showGridLines="0" workbookViewId="0">
      <pane xSplit="9" ySplit="5" topLeftCell="J48" activePane="bottomRight" state="frozen"/>
      <selection pane="topRight"/>
      <selection pane="bottomLeft"/>
      <selection pane="bottomRight" activeCell="F85" sqref="F85"/>
    </sheetView>
  </sheetViews>
  <sheetFormatPr defaultColWidth="0" defaultRowHeight="13" outlineLevelRow="1" x14ac:dyDescent="0.2"/>
  <cols>
    <col min="1" max="4" width="1.44140625" style="70" customWidth="1"/>
    <col min="5" max="5" width="52.109375" style="70" bestFit="1" customWidth="1"/>
    <col min="6" max="6" width="18.6640625" style="70" bestFit="1" customWidth="1"/>
    <col min="7" max="7" width="17" style="70" bestFit="1" customWidth="1"/>
    <col min="8" max="8" width="6.6640625" style="70" bestFit="1" customWidth="1"/>
    <col min="9" max="9" width="3.44140625" style="70" customWidth="1"/>
    <col min="10" max="19" width="11.109375" style="70" bestFit="1" customWidth="1"/>
    <col min="20" max="20" width="15.109375" style="70" hidden="1" customWidth="1"/>
    <col min="21" max="16384" width="15.109375" style="70" hidden="1"/>
  </cols>
  <sheetData>
    <row r="1" spans="1:19" s="20" customFormat="1" ht="26" x14ac:dyDescent="0.2">
      <c r="A1" s="25" t="str">
        <f ca="1" xml:space="preserve"> RIGHT(CELL("filename", A1), LEN(CELL("filename", A1)) - SEARCH("]", CELL("filename", A1)))</f>
        <v>Other wholesale items</v>
      </c>
      <c r="B1" s="19"/>
      <c r="C1" s="21"/>
      <c r="D1" s="17"/>
      <c r="F1" s="18" t="str">
        <f>HYPERLINK("#Contents!A1","Go to contents")</f>
        <v>Go to contents</v>
      </c>
      <c r="H1" s="12"/>
      <c r="J1" s="12"/>
    </row>
    <row r="2" spans="1:19" s="16" customFormat="1" x14ac:dyDescent="0.2">
      <c r="A2" s="13"/>
      <c r="B2" s="13"/>
      <c r="C2" s="23"/>
      <c r="D2" s="22"/>
      <c r="E2" s="6" t="s">
        <v>14</v>
      </c>
      <c r="F2" s="15">
        <v>0</v>
      </c>
      <c r="G2" s="14" t="s">
        <v>15</v>
      </c>
      <c r="H2" s="6"/>
      <c r="I2" s="6"/>
      <c r="J2" s="2">
        <f xml:space="preserve"> Time!J$13</f>
        <v>44286</v>
      </c>
      <c r="K2" s="2">
        <f xml:space="preserve"> Time!K$13</f>
        <v>44651</v>
      </c>
      <c r="L2" s="2">
        <f xml:space="preserve"> Time!L$13</f>
        <v>45016</v>
      </c>
      <c r="M2" s="2">
        <f xml:space="preserve"> Time!M$13</f>
        <v>45382</v>
      </c>
      <c r="N2" s="2">
        <f xml:space="preserve"> Time!N$13</f>
        <v>45747</v>
      </c>
      <c r="O2" s="2">
        <f xml:space="preserve"> Time!O$13</f>
        <v>46112</v>
      </c>
      <c r="P2" s="2">
        <f xml:space="preserve"> Time!P$13</f>
        <v>46477</v>
      </c>
      <c r="Q2" s="2">
        <f xml:space="preserve"> Time!Q$13</f>
        <v>46843</v>
      </c>
      <c r="R2" s="2">
        <f xml:space="preserve"> Time!R$13</f>
        <v>47208</v>
      </c>
      <c r="S2" s="2">
        <f xml:space="preserve"> Time!S$13</f>
        <v>47573</v>
      </c>
    </row>
    <row r="3" spans="1:19" s="11" customFormat="1" x14ac:dyDescent="0.2">
      <c r="A3" s="13"/>
      <c r="B3" s="13"/>
      <c r="C3" s="23"/>
      <c r="D3" s="22"/>
      <c r="E3" s="9" t="s">
        <v>16</v>
      </c>
      <c r="F3" s="15"/>
      <c r="G3" s="14" t="s">
        <v>17</v>
      </c>
      <c r="H3" s="6"/>
      <c r="I3" s="6"/>
      <c r="J3" s="3" t="str">
        <f xml:space="preserve"> Time!J$18</f>
        <v>PR19</v>
      </c>
      <c r="K3" s="3" t="str">
        <f xml:space="preserve"> Time!K$18</f>
        <v>PR19</v>
      </c>
      <c r="L3" s="3" t="str">
        <f xml:space="preserve"> Time!L$18</f>
        <v>PR19</v>
      </c>
      <c r="M3" s="3" t="str">
        <f xml:space="preserve"> Time!M$18</f>
        <v>PR19</v>
      </c>
      <c r="N3" s="3" t="str">
        <f xml:space="preserve"> Time!N$18</f>
        <v>PR19</v>
      </c>
      <c r="O3" s="3" t="str">
        <f xml:space="preserve"> Time!O$18</f>
        <v>PR24</v>
      </c>
      <c r="P3" s="3" t="str">
        <f xml:space="preserve"> Time!P$18</f>
        <v>PR24</v>
      </c>
      <c r="Q3" s="3" t="str">
        <f xml:space="preserve"> Time!Q$18</f>
        <v>PR24</v>
      </c>
      <c r="R3" s="3" t="str">
        <f xml:space="preserve"> Time!R$18</f>
        <v>PR24</v>
      </c>
      <c r="S3" s="3" t="str">
        <f xml:space="preserve"> Time!S$18</f>
        <v>PR24</v>
      </c>
    </row>
    <row r="4" spans="1:19" s="10" customFormat="1" x14ac:dyDescent="0.2">
      <c r="A4" s="13"/>
      <c r="B4" s="13"/>
      <c r="C4" s="23"/>
      <c r="D4" s="22"/>
      <c r="E4" s="6" t="s">
        <v>18</v>
      </c>
      <c r="F4" s="7"/>
      <c r="G4" s="6"/>
      <c r="H4" s="6"/>
      <c r="I4" s="6"/>
      <c r="J4" s="10">
        <f xml:space="preserve"> Time!J$23</f>
        <v>1</v>
      </c>
      <c r="K4" s="10">
        <f xml:space="preserve"> Time!K$23</f>
        <v>2</v>
      </c>
      <c r="L4" s="10">
        <f xml:space="preserve"> Time!L$23</f>
        <v>3</v>
      </c>
      <c r="M4" s="10">
        <f xml:space="preserve"> Time!M$23</f>
        <v>4</v>
      </c>
      <c r="N4" s="10">
        <f xml:space="preserve"> Time!N$23</f>
        <v>5</v>
      </c>
      <c r="O4" s="10">
        <f xml:space="preserve"> Time!O$23</f>
        <v>6</v>
      </c>
      <c r="P4" s="10">
        <f xml:space="preserve"> Time!P$23</f>
        <v>7</v>
      </c>
      <c r="Q4" s="10">
        <f xml:space="preserve"> Time!Q$23</f>
        <v>8</v>
      </c>
      <c r="R4" s="10">
        <f xml:space="preserve"> Time!R$23</f>
        <v>9</v>
      </c>
      <c r="S4" s="10">
        <f xml:space="preserve"> Time!S$23</f>
        <v>10</v>
      </c>
    </row>
    <row r="5" spans="1:19" s="11" customFormat="1" x14ac:dyDescent="0.2">
      <c r="A5" s="13"/>
      <c r="B5" s="13"/>
      <c r="C5" s="23"/>
      <c r="D5" s="22"/>
      <c r="E5" s="6" t="s">
        <v>19</v>
      </c>
      <c r="F5" s="7" t="s">
        <v>20</v>
      </c>
      <c r="G5" s="7" t="s">
        <v>21</v>
      </c>
      <c r="H5" s="7" t="s">
        <v>22</v>
      </c>
      <c r="I5" s="6"/>
      <c r="J5" s="1">
        <f xml:space="preserve"> Time!J$27</f>
        <v>1</v>
      </c>
      <c r="K5" s="1">
        <f xml:space="preserve"> Time!K$27</f>
        <v>2</v>
      </c>
      <c r="L5" s="1">
        <f xml:space="preserve"> Time!L$27</f>
        <v>3</v>
      </c>
      <c r="M5" s="1">
        <f xml:space="preserve"> Time!M$27</f>
        <v>4</v>
      </c>
      <c r="N5" s="1">
        <f xml:space="preserve"> Time!N$27</f>
        <v>5</v>
      </c>
      <c r="O5" s="1">
        <f xml:space="preserve"> Time!O$27</f>
        <v>6</v>
      </c>
      <c r="P5" s="1">
        <f xml:space="preserve"> Time!P$27</f>
        <v>7</v>
      </c>
      <c r="Q5" s="1">
        <f xml:space="preserve"> Time!Q$27</f>
        <v>8</v>
      </c>
      <c r="R5" s="1">
        <f xml:space="preserve"> Time!R$27</f>
        <v>9</v>
      </c>
      <c r="S5" s="1">
        <f xml:space="preserve"> Time!S$27</f>
        <v>10</v>
      </c>
    </row>
    <row r="6" spans="1:19" s="9" customFormat="1" x14ac:dyDescent="0.2">
      <c r="A6" s="7"/>
      <c r="B6" s="7"/>
      <c r="C6" s="24"/>
      <c r="F6" s="7"/>
      <c r="G6" s="7"/>
      <c r="H6" s="7"/>
    </row>
    <row r="9" spans="1:19" x14ac:dyDescent="0.2">
      <c r="A9" s="69" t="s">
        <v>145</v>
      </c>
    </row>
    <row r="10" spans="1:19" outlineLevel="1" x14ac:dyDescent="0.2">
      <c r="B10" s="69" t="s">
        <v>146</v>
      </c>
    </row>
    <row r="11" spans="1:19" outlineLevel="1" x14ac:dyDescent="0.2">
      <c r="A11" s="71"/>
      <c r="B11" s="71"/>
      <c r="C11" s="71"/>
      <c r="D11" s="71"/>
      <c r="E11" s="88" t="str">
        <f xml:space="preserve">  InpS!E$48</f>
        <v>Pre-inflation pension deficit repair allowance PR19</v>
      </c>
      <c r="F11" s="88">
        <f xml:space="preserve">  InpS!F$48</f>
        <v>14.006634664877032</v>
      </c>
      <c r="G11" s="88" t="str">
        <f xml:space="preserve">  InpS!G$48</f>
        <v>£m</v>
      </c>
      <c r="M11" s="89"/>
    </row>
    <row r="12" spans="1:19" outlineLevel="1" x14ac:dyDescent="0.2">
      <c r="A12" s="71"/>
      <c r="B12" s="71"/>
      <c r="C12" s="71"/>
      <c r="D12" s="71"/>
      <c r="E12" s="90" t="str">
        <f xml:space="preserve">  Wholesale!E$11</f>
        <v>CPIH factor</v>
      </c>
      <c r="F12" s="90">
        <f xml:space="preserve">  Wholesale!F$11</f>
        <v>1.1806332960179113</v>
      </c>
      <c r="G12" s="90" t="str">
        <f xml:space="preserve">  Wholesale!G$11</f>
        <v>factor</v>
      </c>
      <c r="M12" s="91"/>
    </row>
    <row r="13" spans="1:19" outlineLevel="1" x14ac:dyDescent="0.2">
      <c r="E13" s="70" t="s">
        <v>146</v>
      </c>
      <c r="F13" s="89">
        <f xml:space="preserve">  $F11 * $F12</f>
        <v>16.536699250512502</v>
      </c>
      <c r="G13" s="70" t="s">
        <v>29</v>
      </c>
      <c r="M13" s="89"/>
    </row>
    <row r="14" spans="1:19" outlineLevel="1" x14ac:dyDescent="0.2"/>
    <row r="15" spans="1:19" outlineLevel="1" x14ac:dyDescent="0.2"/>
    <row r="16" spans="1:19" outlineLevel="1" x14ac:dyDescent="0.2">
      <c r="B16" s="69" t="s">
        <v>147</v>
      </c>
    </row>
    <row r="17" spans="1:13" outlineLevel="1" x14ac:dyDescent="0.2">
      <c r="A17" s="71"/>
      <c r="B17" s="71"/>
      <c r="C17" s="71"/>
      <c r="D17" s="71"/>
      <c r="E17" s="88" t="str">
        <f xml:space="preserve">  InpS!E$49</f>
        <v>Pension deficit repair allowance PR24</v>
      </c>
      <c r="F17" s="88">
        <f xml:space="preserve">  InpS!F$49</f>
        <v>0</v>
      </c>
      <c r="G17" s="88" t="str">
        <f xml:space="preserve">  InpS!G$49</f>
        <v>£m</v>
      </c>
      <c r="M17" s="89"/>
    </row>
    <row r="18" spans="1:13" outlineLevel="1" x14ac:dyDescent="0.2">
      <c r="E18" s="89" t="str">
        <f t="shared" ref="E18:G18" si="0" xml:space="preserve">  E$13</f>
        <v>Pension deficit repair allowance PR19</v>
      </c>
      <c r="F18" s="89">
        <f t="shared" si="0"/>
        <v>16.536699250512502</v>
      </c>
      <c r="G18" s="89" t="str">
        <f t="shared" si="0"/>
        <v>£m</v>
      </c>
      <c r="M18" s="89"/>
    </row>
    <row r="19" spans="1:13" outlineLevel="1" x14ac:dyDescent="0.2">
      <c r="A19" s="71"/>
      <c r="B19" s="71"/>
      <c r="C19" s="71"/>
      <c r="D19" s="71"/>
      <c r="E19" s="72" t="str">
        <f xml:space="preserve">  'Cost to serve'!E$17</f>
        <v>Total number of households PR24</v>
      </c>
      <c r="F19" s="72">
        <f xml:space="preserve">  'Cost to serve'!F$17</f>
        <v>2625.0623727053376</v>
      </c>
      <c r="G19" s="72" t="str">
        <f xml:space="preserve">  'Cost to serve'!G$17</f>
        <v>000 customers</v>
      </c>
      <c r="M19" s="73"/>
    </row>
    <row r="20" spans="1:13" outlineLevel="1" x14ac:dyDescent="0.2">
      <c r="A20" s="71"/>
      <c r="B20" s="71"/>
      <c r="C20" s="71"/>
      <c r="D20" s="71"/>
      <c r="E20" s="72" t="str">
        <f xml:space="preserve">  InpS!E$92</f>
        <v>Units in a thousand</v>
      </c>
      <c r="F20" s="72">
        <f xml:space="preserve">  InpS!F$92</f>
        <v>1000</v>
      </c>
      <c r="G20" s="72" t="str">
        <f xml:space="preserve">  InpS!G$92</f>
        <v>units</v>
      </c>
      <c r="M20" s="73"/>
    </row>
    <row r="21" spans="1:13" outlineLevel="1" x14ac:dyDescent="0.2">
      <c r="E21" s="70" t="s">
        <v>147</v>
      </c>
      <c r="F21" s="89">
        <f xml:space="preserve">  ( $F17 - $F18 ) / $F19 * $F20</f>
        <v>-6.2995452688882612</v>
      </c>
      <c r="G21" s="70" t="s">
        <v>50</v>
      </c>
      <c r="M21" s="89"/>
    </row>
    <row r="22" spans="1:13" outlineLevel="1" x14ac:dyDescent="0.2"/>
    <row r="23" spans="1:13" outlineLevel="1" x14ac:dyDescent="0.2"/>
    <row r="24" spans="1:13" outlineLevel="1" x14ac:dyDescent="0.2">
      <c r="B24" s="69" t="s">
        <v>145</v>
      </c>
    </row>
    <row r="25" spans="1:13" outlineLevel="1" x14ac:dyDescent="0.2">
      <c r="E25" s="89" t="str">
        <f t="shared" ref="E25:G25" si="1" xml:space="preserve">  E$21</f>
        <v>Pre-adjustment Pension deficit repair allowance</v>
      </c>
      <c r="F25" s="89">
        <f t="shared" si="1"/>
        <v>-6.2995452688882612</v>
      </c>
      <c r="G25" s="89" t="str">
        <f t="shared" si="1"/>
        <v>£ / customer</v>
      </c>
      <c r="M25" s="89"/>
    </row>
    <row r="26" spans="1:13" outlineLevel="1" x14ac:dyDescent="0.2">
      <c r="A26" s="71"/>
      <c r="B26" s="71"/>
      <c r="C26" s="71"/>
      <c r="D26" s="71"/>
      <c r="E26" s="90" t="str">
        <f xml:space="preserve">  Wholesale!E$44</f>
        <v>Adjustment factor</v>
      </c>
      <c r="F26" s="90">
        <f xml:space="preserve">  Wholesale!F$44</f>
        <v>0.83356606407476985</v>
      </c>
      <c r="G26" s="90" t="str">
        <f xml:space="preserve">  Wholesale!G$44</f>
        <v>factor</v>
      </c>
      <c r="M26" s="91"/>
    </row>
    <row r="27" spans="1:13" outlineLevel="1" x14ac:dyDescent="0.2">
      <c r="E27" s="70" t="s">
        <v>145</v>
      </c>
      <c r="F27" s="89">
        <f xml:space="preserve">  $F25 * $F26</f>
        <v>-5.2510871552480252</v>
      </c>
      <c r="G27" s="70" t="s">
        <v>50</v>
      </c>
      <c r="M27" s="89"/>
    </row>
    <row r="28" spans="1:13" outlineLevel="1" x14ac:dyDescent="0.2"/>
    <row r="31" spans="1:13" x14ac:dyDescent="0.2">
      <c r="A31" s="69" t="s">
        <v>148</v>
      </c>
    </row>
    <row r="32" spans="1:13" outlineLevel="1" x14ac:dyDescent="0.2">
      <c r="B32" s="69" t="s">
        <v>149</v>
      </c>
    </row>
    <row r="33" spans="1:13" outlineLevel="1" x14ac:dyDescent="0.2">
      <c r="A33" s="71"/>
      <c r="B33" s="71"/>
      <c r="C33" s="71"/>
      <c r="D33" s="71"/>
      <c r="E33" s="88" t="str">
        <f xml:space="preserve">  InpS!E$50</f>
        <v>Pre-inflation tax PR19</v>
      </c>
      <c r="F33" s="88">
        <f xml:space="preserve">  InpS!F$50</f>
        <v>0.96745278201202001</v>
      </c>
      <c r="G33" s="88" t="str">
        <f xml:space="preserve">  InpS!G$50</f>
        <v>£m</v>
      </c>
      <c r="M33" s="89"/>
    </row>
    <row r="34" spans="1:13" outlineLevel="1" x14ac:dyDescent="0.2">
      <c r="A34" s="71"/>
      <c r="B34" s="71"/>
      <c r="C34" s="71"/>
      <c r="D34" s="71"/>
      <c r="E34" s="90" t="str">
        <f xml:space="preserve">  Wholesale!E$11</f>
        <v>CPIH factor</v>
      </c>
      <c r="F34" s="90">
        <f xml:space="preserve">  Wholesale!F$11</f>
        <v>1.1806332960179113</v>
      </c>
      <c r="G34" s="90" t="str">
        <f xml:space="preserve">  Wholesale!G$11</f>
        <v>factor</v>
      </c>
      <c r="M34" s="91"/>
    </row>
    <row r="35" spans="1:13" outlineLevel="1" x14ac:dyDescent="0.2">
      <c r="E35" s="70" t="s">
        <v>149</v>
      </c>
      <c r="F35" s="89">
        <f xml:space="preserve">  $F33 * $F34</f>
        <v>1.142206966768549</v>
      </c>
      <c r="G35" s="70" t="s">
        <v>29</v>
      </c>
      <c r="M35" s="89"/>
    </row>
    <row r="36" spans="1:13" outlineLevel="1" x14ac:dyDescent="0.2"/>
    <row r="37" spans="1:13" outlineLevel="1" x14ac:dyDescent="0.2"/>
    <row r="38" spans="1:13" outlineLevel="1" x14ac:dyDescent="0.2">
      <c r="B38" s="69" t="s">
        <v>150</v>
      </c>
    </row>
    <row r="39" spans="1:13" outlineLevel="1" x14ac:dyDescent="0.2">
      <c r="A39" s="71"/>
      <c r="B39" s="71"/>
      <c r="C39" s="71"/>
      <c r="D39" s="71"/>
      <c r="E39" s="88" t="str">
        <f xml:space="preserve">  InpS!E$51</f>
        <v>Tax PR24</v>
      </c>
      <c r="F39" s="88">
        <f xml:space="preserve">  InpS!F$51</f>
        <v>8.895676975274494</v>
      </c>
      <c r="G39" s="88" t="str">
        <f xml:space="preserve">  InpS!G$51</f>
        <v>£m</v>
      </c>
      <c r="M39" s="89"/>
    </row>
    <row r="40" spans="1:13" outlineLevel="1" x14ac:dyDescent="0.2">
      <c r="E40" s="89" t="str">
        <f t="shared" ref="E40:G40" si="2" xml:space="preserve">  E$35</f>
        <v>Tax PR19</v>
      </c>
      <c r="F40" s="89">
        <f t="shared" si="2"/>
        <v>1.142206966768549</v>
      </c>
      <c r="G40" s="89" t="str">
        <f t="shared" si="2"/>
        <v>£m</v>
      </c>
      <c r="M40" s="89"/>
    </row>
    <row r="41" spans="1:13" outlineLevel="1" x14ac:dyDescent="0.2">
      <c r="A41" s="71"/>
      <c r="B41" s="71"/>
      <c r="C41" s="71"/>
      <c r="D41" s="71"/>
      <c r="E41" s="72" t="str">
        <f xml:space="preserve">  'Cost to serve'!E$17</f>
        <v>Total number of households PR24</v>
      </c>
      <c r="F41" s="72">
        <f xml:space="preserve">  'Cost to serve'!F$17</f>
        <v>2625.0623727053376</v>
      </c>
      <c r="G41" s="72" t="str">
        <f xml:space="preserve">  'Cost to serve'!G$17</f>
        <v>000 customers</v>
      </c>
      <c r="M41" s="73"/>
    </row>
    <row r="42" spans="1:13" outlineLevel="1" x14ac:dyDescent="0.2">
      <c r="A42" s="71"/>
      <c r="B42" s="71"/>
      <c r="C42" s="71"/>
      <c r="D42" s="71"/>
      <c r="E42" s="72" t="str">
        <f xml:space="preserve">  InpS!E$92</f>
        <v>Units in a thousand</v>
      </c>
      <c r="F42" s="72">
        <f xml:space="preserve">  InpS!F$92</f>
        <v>1000</v>
      </c>
      <c r="G42" s="72" t="str">
        <f xml:space="preserve">  InpS!G$92</f>
        <v>units</v>
      </c>
      <c r="M42" s="73"/>
    </row>
    <row r="43" spans="1:13" outlineLevel="1" x14ac:dyDescent="0.2">
      <c r="E43" s="70" t="s">
        <v>150</v>
      </c>
      <c r="F43" s="89">
        <f xml:space="preserve">  ( $F39 - $F40 ) / $F41 * $F42</f>
        <v>2.9536326790267351</v>
      </c>
      <c r="G43" s="70" t="s">
        <v>50</v>
      </c>
      <c r="M43" s="89"/>
    </row>
    <row r="44" spans="1:13" outlineLevel="1" x14ac:dyDescent="0.2"/>
    <row r="45" spans="1:13" outlineLevel="1" x14ac:dyDescent="0.2"/>
    <row r="46" spans="1:13" outlineLevel="1" x14ac:dyDescent="0.2">
      <c r="B46" s="69" t="s">
        <v>148</v>
      </c>
    </row>
    <row r="47" spans="1:13" outlineLevel="1" x14ac:dyDescent="0.2">
      <c r="E47" s="89" t="str">
        <f t="shared" ref="E47:G47" si="3" xml:space="preserve">  E$43</f>
        <v>Pre-adjustment tax</v>
      </c>
      <c r="F47" s="89">
        <f t="shared" si="3"/>
        <v>2.9536326790267351</v>
      </c>
      <c r="G47" s="89" t="str">
        <f t="shared" si="3"/>
        <v>£ / customer</v>
      </c>
      <c r="M47" s="89"/>
    </row>
    <row r="48" spans="1:13" outlineLevel="1" x14ac:dyDescent="0.2">
      <c r="A48" s="71"/>
      <c r="B48" s="71"/>
      <c r="C48" s="71"/>
      <c r="D48" s="71"/>
      <c r="E48" s="90" t="str">
        <f xml:space="preserve">  Wholesale!E$44</f>
        <v>Adjustment factor</v>
      </c>
      <c r="F48" s="90">
        <f xml:space="preserve">  Wholesale!F$44</f>
        <v>0.83356606407476985</v>
      </c>
      <c r="G48" s="90" t="str">
        <f xml:space="preserve">  Wholesale!G$44</f>
        <v>factor</v>
      </c>
      <c r="M48" s="91"/>
    </row>
    <row r="49" spans="1:13" outlineLevel="1" x14ac:dyDescent="0.2">
      <c r="E49" s="70" t="s">
        <v>148</v>
      </c>
      <c r="F49" s="89">
        <f xml:space="preserve">  $F47 * $F48</f>
        <v>2.4620479669789335</v>
      </c>
      <c r="G49" s="70" t="s">
        <v>50</v>
      </c>
      <c r="M49" s="89"/>
    </row>
    <row r="50" spans="1:13" outlineLevel="1" x14ac:dyDescent="0.2"/>
    <row r="53" spans="1:13" collapsed="1" x14ac:dyDescent="0.2">
      <c r="A53" s="69" t="s">
        <v>151</v>
      </c>
    </row>
    <row r="54" spans="1:13" hidden="1" outlineLevel="1" x14ac:dyDescent="0.2">
      <c r="B54" s="69" t="s">
        <v>152</v>
      </c>
    </row>
    <row r="55" spans="1:13" hidden="1" outlineLevel="1" x14ac:dyDescent="0.2">
      <c r="A55" s="71"/>
      <c r="B55" s="71"/>
      <c r="C55" s="71"/>
      <c r="D55" s="71"/>
      <c r="E55" s="88" t="str">
        <f xml:space="preserve">  InpS!E$52</f>
        <v>Pre-inflation revenue profiling PR19</v>
      </c>
      <c r="F55" s="88">
        <f xml:space="preserve">  InpS!F$52</f>
        <v>1.5911642686464873</v>
      </c>
      <c r="G55" s="88" t="str">
        <f xml:space="preserve">  InpS!G$52</f>
        <v>£m</v>
      </c>
      <c r="M55" s="89"/>
    </row>
    <row r="56" spans="1:13" hidden="1" outlineLevel="1" x14ac:dyDescent="0.2">
      <c r="A56" s="71"/>
      <c r="B56" s="71"/>
      <c r="C56" s="71"/>
      <c r="D56" s="71"/>
      <c r="E56" s="90" t="str">
        <f xml:space="preserve">  Wholesale!E$11</f>
        <v>CPIH factor</v>
      </c>
      <c r="F56" s="90">
        <f xml:space="preserve">  Wholesale!F$11</f>
        <v>1.1806332960179113</v>
      </c>
      <c r="G56" s="90" t="str">
        <f xml:space="preserve">  Wholesale!G$11</f>
        <v>factor</v>
      </c>
      <c r="M56" s="91"/>
    </row>
    <row r="57" spans="1:13" hidden="1" outlineLevel="1" x14ac:dyDescent="0.2">
      <c r="E57" s="70" t="s">
        <v>152</v>
      </c>
      <c r="F57" s="89">
        <f xml:space="preserve">  $F55 * $F56</f>
        <v>1.8785815149980316</v>
      </c>
      <c r="G57" s="70" t="s">
        <v>29</v>
      </c>
      <c r="M57" s="89"/>
    </row>
    <row r="58" spans="1:13" hidden="1" outlineLevel="1" x14ac:dyDescent="0.2"/>
    <row r="59" spans="1:13" hidden="1" outlineLevel="1" x14ac:dyDescent="0.2"/>
    <row r="60" spans="1:13" hidden="1" outlineLevel="1" x14ac:dyDescent="0.2">
      <c r="B60" s="69" t="s">
        <v>153</v>
      </c>
    </row>
    <row r="61" spans="1:13" hidden="1" outlineLevel="1" x14ac:dyDescent="0.2">
      <c r="A61" s="71"/>
      <c r="B61" s="71"/>
      <c r="C61" s="71"/>
      <c r="D61" s="71"/>
      <c r="E61" s="88" t="str">
        <f xml:space="preserve">  InpS!E$53</f>
        <v>Revenue profiling PR24</v>
      </c>
      <c r="F61" s="88">
        <f xml:space="preserve">  InpS!F$53</f>
        <v>0</v>
      </c>
      <c r="G61" s="88" t="str">
        <f xml:space="preserve">  InpS!G$53</f>
        <v>£m</v>
      </c>
      <c r="M61" s="89"/>
    </row>
    <row r="62" spans="1:13" hidden="1" outlineLevel="1" x14ac:dyDescent="0.2">
      <c r="E62" s="89" t="str">
        <f t="shared" ref="E62:G62" si="4" xml:space="preserve">  E$57</f>
        <v>Revenue profiling PR19</v>
      </c>
      <c r="F62" s="89">
        <f t="shared" si="4"/>
        <v>1.8785815149980316</v>
      </c>
      <c r="G62" s="89" t="str">
        <f t="shared" si="4"/>
        <v>£m</v>
      </c>
      <c r="M62" s="89"/>
    </row>
    <row r="63" spans="1:13" hidden="1" outlineLevel="1" x14ac:dyDescent="0.2">
      <c r="A63" s="71"/>
      <c r="B63" s="71"/>
      <c r="C63" s="71"/>
      <c r="D63" s="71"/>
      <c r="E63" s="72" t="str">
        <f xml:space="preserve">  'Cost to serve'!E$17</f>
        <v>Total number of households PR24</v>
      </c>
      <c r="F63" s="72">
        <f xml:space="preserve">  'Cost to serve'!F$17</f>
        <v>2625.0623727053376</v>
      </c>
      <c r="G63" s="72" t="str">
        <f xml:space="preserve">  'Cost to serve'!G$17</f>
        <v>000 customers</v>
      </c>
      <c r="M63" s="73"/>
    </row>
    <row r="64" spans="1:13" hidden="1" outlineLevel="1" x14ac:dyDescent="0.2">
      <c r="A64" s="71"/>
      <c r="B64" s="71"/>
      <c r="C64" s="71"/>
      <c r="D64" s="71"/>
      <c r="E64" s="72" t="str">
        <f xml:space="preserve">  InpS!E$92</f>
        <v>Units in a thousand</v>
      </c>
      <c r="F64" s="72">
        <f xml:space="preserve">  InpS!F$92</f>
        <v>1000</v>
      </c>
      <c r="G64" s="72" t="str">
        <f xml:space="preserve">  InpS!G$92</f>
        <v>units</v>
      </c>
      <c r="M64" s="73"/>
    </row>
    <row r="65" spans="1:13" hidden="1" outlineLevel="1" x14ac:dyDescent="0.2">
      <c r="E65" s="70" t="s">
        <v>153</v>
      </c>
      <c r="F65" s="89">
        <f xml:space="preserve">  ( $F61 - $F62 ) / $F63 * $F64</f>
        <v>-0.71563309677171683</v>
      </c>
      <c r="G65" s="70" t="s">
        <v>50</v>
      </c>
      <c r="M65" s="89"/>
    </row>
    <row r="66" spans="1:13" hidden="1" outlineLevel="1" x14ac:dyDescent="0.2"/>
    <row r="67" spans="1:13" hidden="1" outlineLevel="1" x14ac:dyDescent="0.2"/>
    <row r="68" spans="1:13" hidden="1" outlineLevel="1" x14ac:dyDescent="0.2">
      <c r="B68" s="69" t="s">
        <v>151</v>
      </c>
    </row>
    <row r="69" spans="1:13" hidden="1" outlineLevel="1" x14ac:dyDescent="0.2">
      <c r="E69" s="89" t="str">
        <f t="shared" ref="E69:G69" si="5" xml:space="preserve">  E$65</f>
        <v>Pre-adjustment revenue profiling</v>
      </c>
      <c r="F69" s="89">
        <f t="shared" si="5"/>
        <v>-0.71563309677171683</v>
      </c>
      <c r="G69" s="89" t="str">
        <f t="shared" si="5"/>
        <v>£ / customer</v>
      </c>
      <c r="M69" s="89"/>
    </row>
    <row r="70" spans="1:13" hidden="1" outlineLevel="1" x14ac:dyDescent="0.2">
      <c r="A70" s="71"/>
      <c r="B70" s="71"/>
      <c r="C70" s="71"/>
      <c r="D70" s="71"/>
      <c r="E70" s="90" t="str">
        <f xml:space="preserve">  Wholesale!E$44</f>
        <v>Adjustment factor</v>
      </c>
      <c r="F70" s="90">
        <f xml:space="preserve">  Wholesale!F$44</f>
        <v>0.83356606407476985</v>
      </c>
      <c r="G70" s="90" t="str">
        <f xml:space="preserve">  Wholesale!G$44</f>
        <v>factor</v>
      </c>
      <c r="M70" s="91"/>
    </row>
    <row r="71" spans="1:13" hidden="1" outlineLevel="1" x14ac:dyDescent="0.2">
      <c r="E71" s="70" t="s">
        <v>151</v>
      </c>
      <c r="F71" s="89">
        <f xml:space="preserve">  $F69 * $F70</f>
        <v>-0.59652746379763888</v>
      </c>
      <c r="G71" s="70" t="s">
        <v>50</v>
      </c>
      <c r="M71" s="89"/>
    </row>
    <row r="72" spans="1:13" hidden="1" outlineLevel="1" x14ac:dyDescent="0.2"/>
    <row r="75" spans="1:13" x14ac:dyDescent="0.2">
      <c r="A75" s="69" t="s">
        <v>154</v>
      </c>
    </row>
    <row r="76" spans="1:13" outlineLevel="1" x14ac:dyDescent="0.2">
      <c r="B76" s="69" t="s">
        <v>55</v>
      </c>
    </row>
    <row r="77" spans="1:13" outlineLevel="1" x14ac:dyDescent="0.2">
      <c r="E77" s="89" t="str">
        <f t="shared" ref="E77:G77" si="6" xml:space="preserve">  E$27</f>
        <v>Pension deficit repair allowance</v>
      </c>
      <c r="F77" s="89">
        <f t="shared" si="6"/>
        <v>-5.2510871552480252</v>
      </c>
      <c r="G77" s="89" t="str">
        <f t="shared" si="6"/>
        <v>£ / customer</v>
      </c>
      <c r="M77" s="89"/>
    </row>
    <row r="78" spans="1:13" outlineLevel="1" x14ac:dyDescent="0.2">
      <c r="E78" s="89" t="str">
        <f t="shared" ref="E78:G78" si="7" xml:space="preserve">  E$49</f>
        <v>Tax</v>
      </c>
      <c r="F78" s="89">
        <f t="shared" si="7"/>
        <v>2.4620479669789335</v>
      </c>
      <c r="G78" s="89" t="str">
        <f t="shared" si="7"/>
        <v>£ / customer</v>
      </c>
      <c r="M78" s="89"/>
    </row>
    <row r="79" spans="1:13" outlineLevel="1" x14ac:dyDescent="0.2">
      <c r="E79" s="89" t="str">
        <f t="shared" ref="E79:G79" si="8" xml:space="preserve">  E$71</f>
        <v>Revenue profiling</v>
      </c>
      <c r="F79" s="89">
        <f t="shared" si="8"/>
        <v>-0.59652746379763888</v>
      </c>
      <c r="G79" s="89" t="str">
        <f t="shared" si="8"/>
        <v>£ / customer</v>
      </c>
      <c r="M79" s="89"/>
    </row>
    <row r="80" spans="1:13" outlineLevel="1" x14ac:dyDescent="0.2">
      <c r="E80" s="89" t="str">
        <f t="shared" ref="E80:G80" si="9" xml:space="preserve">  E$93</f>
        <v>Other</v>
      </c>
      <c r="F80" s="89">
        <f t="shared" si="9"/>
        <v>-2.830209887260736</v>
      </c>
      <c r="G80" s="89" t="str">
        <f t="shared" si="9"/>
        <v>£ / customer</v>
      </c>
      <c r="M80" s="89"/>
    </row>
    <row r="81" spans="1:13" outlineLevel="1" x14ac:dyDescent="0.2">
      <c r="A81" s="75"/>
      <c r="B81" s="75"/>
      <c r="C81" s="75"/>
      <c r="D81" s="75"/>
      <c r="E81" s="75" t="s">
        <v>55</v>
      </c>
      <c r="F81" s="94">
        <f xml:space="preserve">  $F77 + $F78 + $F79 + $F80</f>
        <v>-6.2157765393274662</v>
      </c>
      <c r="G81" s="75" t="s">
        <v>50</v>
      </c>
      <c r="M81" s="89"/>
    </row>
    <row r="82" spans="1:13" outlineLevel="1" x14ac:dyDescent="0.2"/>
    <row r="83" spans="1:13" outlineLevel="1" x14ac:dyDescent="0.2"/>
    <row r="84" spans="1:13" outlineLevel="1" x14ac:dyDescent="0.2">
      <c r="B84" s="69" t="s">
        <v>154</v>
      </c>
    </row>
    <row r="85" spans="1:13" outlineLevel="1" x14ac:dyDescent="0.2">
      <c r="A85" s="71"/>
      <c r="B85" s="71"/>
      <c r="C85" s="71"/>
      <c r="D85" s="71"/>
      <c r="E85" s="88" t="str">
        <f xml:space="preserve">  Wholesale!E$24</f>
        <v>Wholesale bill impact</v>
      </c>
      <c r="F85" s="88">
        <f xml:space="preserve">  Wholesale!F$24</f>
        <v>104.75073244365714</v>
      </c>
      <c r="G85" s="88" t="str">
        <f xml:space="preserve">  Wholesale!G$24</f>
        <v>£ / customer</v>
      </c>
      <c r="M85" s="89"/>
    </row>
    <row r="86" spans="1:13" outlineLevel="1" x14ac:dyDescent="0.2">
      <c r="A86" s="71"/>
      <c r="B86" s="71"/>
      <c r="C86" s="71"/>
      <c r="D86" s="71"/>
      <c r="E86" s="88" t="str">
        <f xml:space="preserve">  Totex!E$106</f>
        <v>PAYG bill impact</v>
      </c>
      <c r="F86" s="88">
        <f xml:space="preserve">  Totex!F$106</f>
        <v>49.216728607273524</v>
      </c>
      <c r="G86" s="88" t="str">
        <f xml:space="preserve">  Totex!G$106</f>
        <v>£ / customer</v>
      </c>
      <c r="M86" s="89"/>
    </row>
    <row r="87" spans="1:13" outlineLevel="1" x14ac:dyDescent="0.2">
      <c r="E87" s="89" t="str">
        <f t="shared" ref="E87:G87" si="10" xml:space="preserve">  E$27</f>
        <v>Pension deficit repair allowance</v>
      </c>
      <c r="F87" s="89">
        <f t="shared" si="10"/>
        <v>-5.2510871552480252</v>
      </c>
      <c r="G87" s="89" t="str">
        <f t="shared" si="10"/>
        <v>£ / customer</v>
      </c>
      <c r="M87" s="89"/>
    </row>
    <row r="88" spans="1:13" outlineLevel="1" x14ac:dyDescent="0.2">
      <c r="A88" s="71"/>
      <c r="B88" s="71"/>
      <c r="C88" s="71"/>
      <c r="D88" s="71"/>
      <c r="E88" s="88" t="str">
        <f xml:space="preserve">  Wholesale!E$66</f>
        <v>WACC</v>
      </c>
      <c r="F88" s="88">
        <f xml:space="preserve">  Wholesale!F$66</f>
        <v>32.268949133223515</v>
      </c>
      <c r="G88" s="88" t="str">
        <f xml:space="preserve">  Wholesale!G$66</f>
        <v>£ / customer</v>
      </c>
      <c r="M88" s="89"/>
    </row>
    <row r="89" spans="1:13" outlineLevel="1" x14ac:dyDescent="0.2">
      <c r="A89" s="71"/>
      <c r="B89" s="71"/>
      <c r="C89" s="71"/>
      <c r="D89" s="71"/>
      <c r="E89" s="88" t="str">
        <f xml:space="preserve">  RCV!E$66</f>
        <v>Run off bill impact</v>
      </c>
      <c r="F89" s="88">
        <f xml:space="preserve">  RCV!F$66</f>
        <v>15.679440426266918</v>
      </c>
      <c r="G89" s="88" t="str">
        <f xml:space="preserve">  RCV!G$66</f>
        <v>£ / customer</v>
      </c>
      <c r="M89" s="89"/>
    </row>
    <row r="90" spans="1:13" outlineLevel="1" x14ac:dyDescent="0.2">
      <c r="E90" s="89" t="str">
        <f t="shared" ref="E90:G90" si="11" xml:space="preserve">  E$49</f>
        <v>Tax</v>
      </c>
      <c r="F90" s="89">
        <f t="shared" si="11"/>
        <v>2.4620479669789335</v>
      </c>
      <c r="G90" s="89" t="str">
        <f t="shared" si="11"/>
        <v>£ / customer</v>
      </c>
      <c r="M90" s="89"/>
    </row>
    <row r="91" spans="1:13" outlineLevel="1" x14ac:dyDescent="0.2">
      <c r="A91" s="71"/>
      <c r="B91" s="71"/>
      <c r="C91" s="71"/>
      <c r="D91" s="71"/>
      <c r="E91" s="88" t="str">
        <f xml:space="preserve">  'Wholesale reconciliation'!E$25</f>
        <v>Wholesale reconciliation items</v>
      </c>
      <c r="F91" s="88">
        <f xml:space="preserve">  'Wholesale reconciliation'!F$25</f>
        <v>13.801390816220662</v>
      </c>
      <c r="G91" s="88" t="str">
        <f xml:space="preserve">  'Wholesale reconciliation'!G$25</f>
        <v>£ / customer</v>
      </c>
      <c r="M91" s="89"/>
    </row>
    <row r="92" spans="1:13" outlineLevel="1" x14ac:dyDescent="0.2">
      <c r="E92" s="89" t="str">
        <f t="shared" ref="E92:G92" si="12" xml:space="preserve">  E$71</f>
        <v>Revenue profiling</v>
      </c>
      <c r="F92" s="89">
        <f t="shared" si="12"/>
        <v>-0.59652746379763888</v>
      </c>
      <c r="G92" s="89" t="str">
        <f t="shared" si="12"/>
        <v>£ / customer</v>
      </c>
      <c r="M92" s="89"/>
    </row>
    <row r="93" spans="1:13" outlineLevel="1" x14ac:dyDescent="0.2">
      <c r="E93" s="70" t="s">
        <v>154</v>
      </c>
      <c r="F93" s="89">
        <f xml:space="preserve">  $F85 - ( $F86 + $F87 + $F88 + $F89 + $F90 + $F91 + $F92 )</f>
        <v>-2.830209887260736</v>
      </c>
      <c r="G93" s="70" t="s">
        <v>50</v>
      </c>
      <c r="M93" s="89"/>
    </row>
    <row r="94" spans="1:13" outlineLevel="1" x14ac:dyDescent="0.2"/>
    <row r="97" spans="2:2" x14ac:dyDescent="0.2">
      <c r="B97" s="70" t="s">
        <v>98</v>
      </c>
    </row>
  </sheetData>
  <conditionalFormatting sqref="F2">
    <cfRule type="cellIs" dxfId="40" priority="3" stopIfTrue="1" operator="equal">
      <formula>""</formula>
    </cfRule>
  </conditionalFormatting>
  <conditionalFormatting sqref="F2:F3">
    <cfRule type="cellIs" dxfId="39" priority="1" stopIfTrue="1" operator="notEqual">
      <formula>0</formula>
    </cfRule>
  </conditionalFormatting>
  <conditionalFormatting sqref="J3:S3">
    <cfRule type="cellIs" dxfId="38" priority="9" operator="equal">
      <formula>"PPA ext."</formula>
    </cfRule>
    <cfRule type="cellIs" dxfId="37" priority="10" operator="equal">
      <formula>"Delay"</formula>
    </cfRule>
    <cfRule type="cellIs" dxfId="36" priority="11" operator="equal">
      <formula>"Fin Close"</formula>
    </cfRule>
    <cfRule type="cellIs" dxfId="35" priority="12" stopIfTrue="1" operator="equal">
      <formula>"Construction"</formula>
    </cfRule>
    <cfRule type="cellIs" dxfId="34" priority="13" stopIfTrue="1" operator="equal">
      <formula>"Operations"</formula>
    </cfRule>
  </conditionalFormatting>
  <pageMargins left="0.70866141732283472" right="0.70866141732283472" top="0.74803149606299213" bottom="0.74803149606299213" header="0.31496062992125984" footer="0.31496062992125984"/>
  <pageSetup paperSize="9" scale="50" orientation="portrait"/>
  <headerFooter>
    <oddHeader>&amp;L&amp;"-,Regular"&amp;9&amp;K63656APage &amp;P of &amp;N&amp;C&amp;"-,Regular"&amp;9&amp;K63656A&amp;F&amp;R&amp;G</oddHeader>
    <oddFooter>&amp;LSheet: &amp;A&amp;RPrinted on &amp;D at &amp;T</oddFooter>
  </headerFooter>
  <customProperties>
    <customPr name="MMGroup" r:id="rId1"/>
    <customPr name="MMSheetType" r:id="rId2"/>
    <customPr name="MMTimeAxis" r:id="rId3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  <pageSetUpPr fitToPage="1"/>
  </sheetPr>
  <dimension ref="A1:S40"/>
  <sheetViews>
    <sheetView showGridLines="0" workbookViewId="0">
      <pane xSplit="9" ySplit="5" topLeftCell="J6" activePane="bottomRight" state="frozen"/>
      <selection pane="topRight"/>
      <selection pane="bottomLeft"/>
      <selection pane="bottomRight" activeCell="F37" sqref="F37"/>
    </sheetView>
  </sheetViews>
  <sheetFormatPr defaultColWidth="0" defaultRowHeight="13" x14ac:dyDescent="0.2"/>
  <cols>
    <col min="1" max="4" width="1.44140625" style="70" customWidth="1"/>
    <col min="5" max="5" width="42" style="70" bestFit="1" customWidth="1"/>
    <col min="6" max="6" width="18.6640625" style="70" bestFit="1" customWidth="1"/>
    <col min="7" max="7" width="17" style="70" bestFit="1" customWidth="1"/>
    <col min="8" max="8" width="6.6640625" style="70" bestFit="1" customWidth="1"/>
    <col min="9" max="9" width="3.44140625" style="70" customWidth="1"/>
    <col min="10" max="19" width="11.109375" style="70" bestFit="1" customWidth="1"/>
    <col min="20" max="20" width="15.109375" style="70" hidden="1" customWidth="1"/>
    <col min="21" max="16384" width="15.109375" style="70" hidden="1"/>
  </cols>
  <sheetData>
    <row r="1" spans="1:19" s="20" customFormat="1" ht="26" x14ac:dyDescent="0.2">
      <c r="A1" s="25" t="str">
        <f ca="1" xml:space="preserve"> RIGHT(CELL("filename", A1), LEN(CELL("filename", A1)) - SEARCH("]", CELL("filename", A1)))</f>
        <v>Cost to serve</v>
      </c>
      <c r="B1" s="19"/>
      <c r="C1" s="21"/>
      <c r="D1" s="17"/>
      <c r="F1" s="18" t="str">
        <f>HYPERLINK("#Contents!A1","Go to contents")</f>
        <v>Go to contents</v>
      </c>
      <c r="H1" s="12"/>
      <c r="J1" s="12"/>
    </row>
    <row r="2" spans="1:19" s="16" customFormat="1" x14ac:dyDescent="0.2">
      <c r="A2" s="13"/>
      <c r="B2" s="13"/>
      <c r="C2" s="23"/>
      <c r="D2" s="22"/>
      <c r="E2" s="6" t="s">
        <v>14</v>
      </c>
      <c r="F2" s="15">
        <v>0</v>
      </c>
      <c r="G2" s="14" t="s">
        <v>15</v>
      </c>
      <c r="H2" s="6"/>
      <c r="I2" s="6"/>
      <c r="J2" s="2">
        <f xml:space="preserve"> Time!J$13</f>
        <v>44286</v>
      </c>
      <c r="K2" s="2">
        <f xml:space="preserve"> Time!K$13</f>
        <v>44651</v>
      </c>
      <c r="L2" s="2">
        <f xml:space="preserve"> Time!L$13</f>
        <v>45016</v>
      </c>
      <c r="M2" s="2">
        <f xml:space="preserve"> Time!M$13</f>
        <v>45382</v>
      </c>
      <c r="N2" s="2">
        <f xml:space="preserve"> Time!N$13</f>
        <v>45747</v>
      </c>
      <c r="O2" s="2">
        <f xml:space="preserve"> Time!O$13</f>
        <v>46112</v>
      </c>
      <c r="P2" s="2">
        <f xml:space="preserve"> Time!P$13</f>
        <v>46477</v>
      </c>
      <c r="Q2" s="2">
        <f xml:space="preserve"> Time!Q$13</f>
        <v>46843</v>
      </c>
      <c r="R2" s="2">
        <f xml:space="preserve"> Time!R$13</f>
        <v>47208</v>
      </c>
      <c r="S2" s="2">
        <f xml:space="preserve"> Time!S$13</f>
        <v>47573</v>
      </c>
    </row>
    <row r="3" spans="1:19" s="11" customFormat="1" x14ac:dyDescent="0.2">
      <c r="A3" s="13"/>
      <c r="B3" s="13"/>
      <c r="C3" s="23"/>
      <c r="D3" s="22"/>
      <c r="E3" s="9" t="s">
        <v>16</v>
      </c>
      <c r="F3" s="15"/>
      <c r="G3" s="14" t="s">
        <v>17</v>
      </c>
      <c r="H3" s="6"/>
      <c r="I3" s="6"/>
      <c r="J3" s="3" t="str">
        <f xml:space="preserve"> Time!J$18</f>
        <v>PR19</v>
      </c>
      <c r="K3" s="3" t="str">
        <f xml:space="preserve"> Time!K$18</f>
        <v>PR19</v>
      </c>
      <c r="L3" s="3" t="str">
        <f xml:space="preserve"> Time!L$18</f>
        <v>PR19</v>
      </c>
      <c r="M3" s="3" t="str">
        <f xml:space="preserve"> Time!M$18</f>
        <v>PR19</v>
      </c>
      <c r="N3" s="3" t="str">
        <f xml:space="preserve"> Time!N$18</f>
        <v>PR19</v>
      </c>
      <c r="O3" s="3" t="str">
        <f xml:space="preserve"> Time!O$18</f>
        <v>PR24</v>
      </c>
      <c r="P3" s="3" t="str">
        <f xml:space="preserve"> Time!P$18</f>
        <v>PR24</v>
      </c>
      <c r="Q3" s="3" t="str">
        <f xml:space="preserve"> Time!Q$18</f>
        <v>PR24</v>
      </c>
      <c r="R3" s="3" t="str">
        <f xml:space="preserve"> Time!R$18</f>
        <v>PR24</v>
      </c>
      <c r="S3" s="3" t="str">
        <f xml:space="preserve"> Time!S$18</f>
        <v>PR24</v>
      </c>
    </row>
    <row r="4" spans="1:19" s="10" customFormat="1" x14ac:dyDescent="0.2">
      <c r="A4" s="13"/>
      <c r="B4" s="13"/>
      <c r="C4" s="23"/>
      <c r="D4" s="22"/>
      <c r="E4" s="6" t="s">
        <v>18</v>
      </c>
      <c r="F4" s="7"/>
      <c r="G4" s="6"/>
      <c r="H4" s="6"/>
      <c r="I4" s="6"/>
      <c r="J4" s="10">
        <f xml:space="preserve"> Time!J$23</f>
        <v>1</v>
      </c>
      <c r="K4" s="10">
        <f xml:space="preserve"> Time!K$23</f>
        <v>2</v>
      </c>
      <c r="L4" s="10">
        <f xml:space="preserve"> Time!L$23</f>
        <v>3</v>
      </c>
      <c r="M4" s="10">
        <f xml:space="preserve"> Time!M$23</f>
        <v>4</v>
      </c>
      <c r="N4" s="10">
        <f xml:space="preserve"> Time!N$23</f>
        <v>5</v>
      </c>
      <c r="O4" s="10">
        <f xml:space="preserve"> Time!O$23</f>
        <v>6</v>
      </c>
      <c r="P4" s="10">
        <f xml:space="preserve"> Time!P$23</f>
        <v>7</v>
      </c>
      <c r="Q4" s="10">
        <f xml:space="preserve"> Time!Q$23</f>
        <v>8</v>
      </c>
      <c r="R4" s="10">
        <f xml:space="preserve"> Time!R$23</f>
        <v>9</v>
      </c>
      <c r="S4" s="10">
        <f xml:space="preserve"> Time!S$23</f>
        <v>10</v>
      </c>
    </row>
    <row r="5" spans="1:19" s="11" customFormat="1" x14ac:dyDescent="0.2">
      <c r="A5" s="13"/>
      <c r="B5" s="13"/>
      <c r="C5" s="23"/>
      <c r="D5" s="22"/>
      <c r="E5" s="6" t="s">
        <v>19</v>
      </c>
      <c r="F5" s="7" t="s">
        <v>20</v>
      </c>
      <c r="G5" s="7" t="s">
        <v>21</v>
      </c>
      <c r="H5" s="7" t="s">
        <v>22</v>
      </c>
      <c r="I5" s="6"/>
      <c r="J5" s="1">
        <f xml:space="preserve"> Time!J$27</f>
        <v>1</v>
      </c>
      <c r="K5" s="1">
        <f xml:space="preserve"> Time!K$27</f>
        <v>2</v>
      </c>
      <c r="L5" s="1">
        <f xml:space="preserve"> Time!L$27</f>
        <v>3</v>
      </c>
      <c r="M5" s="1">
        <f xml:space="preserve"> Time!M$27</f>
        <v>4</v>
      </c>
      <c r="N5" s="1">
        <f xml:space="preserve"> Time!N$27</f>
        <v>5</v>
      </c>
      <c r="O5" s="1">
        <f xml:space="preserve"> Time!O$27</f>
        <v>6</v>
      </c>
      <c r="P5" s="1">
        <f xml:space="preserve"> Time!P$27</f>
        <v>7</v>
      </c>
      <c r="Q5" s="1">
        <f xml:space="preserve"> Time!Q$27</f>
        <v>8</v>
      </c>
      <c r="R5" s="1">
        <f xml:space="preserve"> Time!R$27</f>
        <v>9</v>
      </c>
      <c r="S5" s="1">
        <f xml:space="preserve"> Time!S$27</f>
        <v>10</v>
      </c>
    </row>
    <row r="6" spans="1:19" s="9" customFormat="1" x14ac:dyDescent="0.2">
      <c r="A6" s="7"/>
      <c r="B6" s="7"/>
      <c r="C6" s="24"/>
      <c r="F6" s="7"/>
      <c r="G6" s="7"/>
      <c r="H6" s="7"/>
    </row>
    <row r="8" spans="1:19" x14ac:dyDescent="0.2">
      <c r="B8" s="69" t="s">
        <v>155</v>
      </c>
    </row>
    <row r="9" spans="1:19" x14ac:dyDescent="0.2">
      <c r="A9" s="71"/>
      <c r="B9" s="71"/>
      <c r="C9" s="71"/>
      <c r="D9" s="71"/>
      <c r="E9" s="72" t="str">
        <f xml:space="preserve">  InpS!E$59</f>
        <v>Number of metered households PR19</v>
      </c>
      <c r="F9" s="72">
        <f xml:space="preserve">  InpS!F$59</f>
        <v>1979.633620276785</v>
      </c>
      <c r="G9" s="72" t="str">
        <f xml:space="preserve">  InpS!G$59</f>
        <v>000 customers</v>
      </c>
      <c r="M9" s="73"/>
    </row>
    <row r="10" spans="1:19" x14ac:dyDescent="0.2">
      <c r="A10" s="71"/>
      <c r="B10" s="71"/>
      <c r="C10" s="71"/>
      <c r="D10" s="71"/>
      <c r="E10" s="72" t="str">
        <f xml:space="preserve">  InpS!E$60</f>
        <v>Number of unmetered households PR19</v>
      </c>
      <c r="F10" s="72">
        <f xml:space="preserve">  InpS!F$60</f>
        <v>420.73263879322514</v>
      </c>
      <c r="G10" s="72" t="str">
        <f xml:space="preserve">  InpS!G$60</f>
        <v>000 customers</v>
      </c>
      <c r="M10" s="73"/>
    </row>
    <row r="11" spans="1:19" x14ac:dyDescent="0.2">
      <c r="A11" s="75"/>
      <c r="B11" s="75"/>
      <c r="C11" s="75"/>
      <c r="D11" s="75"/>
      <c r="E11" s="75" t="s">
        <v>155</v>
      </c>
      <c r="F11" s="78">
        <f xml:space="preserve">  $F9 + $F10</f>
        <v>2400.3662590700101</v>
      </c>
      <c r="G11" s="75" t="s">
        <v>67</v>
      </c>
      <c r="M11" s="73"/>
    </row>
    <row r="14" spans="1:19" x14ac:dyDescent="0.2">
      <c r="B14" s="69" t="s">
        <v>156</v>
      </c>
    </row>
    <row r="15" spans="1:19" x14ac:dyDescent="0.2">
      <c r="A15" s="71"/>
      <c r="B15" s="71"/>
      <c r="C15" s="71"/>
      <c r="D15" s="71"/>
      <c r="E15" s="72" t="str">
        <f xml:space="preserve">  InpS!E$61</f>
        <v>Number of metered households PR24</v>
      </c>
      <c r="F15" s="72">
        <f xml:space="preserve">  InpS!F$61</f>
        <v>2248.4354366091711</v>
      </c>
      <c r="G15" s="72" t="str">
        <f xml:space="preserve">  InpS!G$61</f>
        <v>000 customers</v>
      </c>
      <c r="M15" s="73"/>
    </row>
    <row r="16" spans="1:19" x14ac:dyDescent="0.2">
      <c r="A16" s="71"/>
      <c r="B16" s="71"/>
      <c r="C16" s="71"/>
      <c r="D16" s="71"/>
      <c r="E16" s="72" t="str">
        <f xml:space="preserve">  InpS!E$62</f>
        <v>Number of unmetered households PR24</v>
      </c>
      <c r="F16" s="72">
        <f xml:space="preserve">  InpS!F$62</f>
        <v>376.62693609616639</v>
      </c>
      <c r="G16" s="72" t="str">
        <f xml:space="preserve">  InpS!G$62</f>
        <v>000 customers</v>
      </c>
      <c r="M16" s="73"/>
    </row>
    <row r="17" spans="1:13" x14ac:dyDescent="0.2">
      <c r="A17" s="75"/>
      <c r="B17" s="75"/>
      <c r="C17" s="75"/>
      <c r="D17" s="75"/>
      <c r="E17" s="75" t="s">
        <v>156</v>
      </c>
      <c r="F17" s="78">
        <f xml:space="preserve">  $F15 + $F16</f>
        <v>2625.0623727053376</v>
      </c>
      <c r="G17" s="75" t="s">
        <v>67</v>
      </c>
      <c r="M17" s="73"/>
    </row>
    <row r="20" spans="1:13" x14ac:dyDescent="0.2">
      <c r="B20" s="69" t="s">
        <v>157</v>
      </c>
    </row>
    <row r="21" spans="1:13" x14ac:dyDescent="0.2">
      <c r="A21" s="71"/>
      <c r="B21" s="71"/>
      <c r="C21" s="71"/>
      <c r="D21" s="71"/>
      <c r="E21" s="88" t="str">
        <f xml:space="preserve">  InpS!E$66</f>
        <v>Total retail revenue PR19</v>
      </c>
      <c r="F21" s="88">
        <f xml:space="preserve">  InpS!F$66</f>
        <v>59.566750491040942</v>
      </c>
      <c r="G21" s="88" t="str">
        <f xml:space="preserve">  InpS!G$66</f>
        <v>£m</v>
      </c>
      <c r="M21" s="89"/>
    </row>
    <row r="22" spans="1:13" x14ac:dyDescent="0.2">
      <c r="E22" s="73" t="str">
        <f t="shared" ref="E22:G22" si="0" xml:space="preserve">  E$11</f>
        <v>Total number of households PR19</v>
      </c>
      <c r="F22" s="73">
        <f xml:space="preserve">  F$11</f>
        <v>2400.3662590700101</v>
      </c>
      <c r="G22" s="73" t="str">
        <f t="shared" si="0"/>
        <v>000 customers</v>
      </c>
      <c r="M22" s="73"/>
    </row>
    <row r="23" spans="1:13" x14ac:dyDescent="0.2">
      <c r="A23" s="71"/>
      <c r="B23" s="71"/>
      <c r="C23" s="71"/>
      <c r="D23" s="71"/>
      <c r="E23" s="72" t="str">
        <f xml:space="preserve">  InpS!E$92</f>
        <v>Units in a thousand</v>
      </c>
      <c r="F23" s="72">
        <f xml:space="preserve">  InpS!F$92</f>
        <v>1000</v>
      </c>
      <c r="G23" s="72" t="str">
        <f xml:space="preserve">  InpS!G$92</f>
        <v>units</v>
      </c>
      <c r="M23" s="73"/>
    </row>
    <row r="24" spans="1:13" x14ac:dyDescent="0.2">
      <c r="E24" s="70" t="s">
        <v>157</v>
      </c>
      <c r="F24" s="89">
        <f xml:space="preserve">  $F21 / $F22 * $F23</f>
        <v>24.815692299440705</v>
      </c>
      <c r="G24" s="70" t="s">
        <v>50</v>
      </c>
      <c r="M24" s="89"/>
    </row>
    <row r="27" spans="1:13" x14ac:dyDescent="0.2">
      <c r="B27" s="69" t="s">
        <v>158</v>
      </c>
    </row>
    <row r="28" spans="1:13" x14ac:dyDescent="0.2">
      <c r="A28" s="71"/>
      <c r="B28" s="71"/>
      <c r="C28" s="71"/>
      <c r="D28" s="71"/>
      <c r="E28" s="88" t="str">
        <f xml:space="preserve">  InpS!E$67</f>
        <v>Total retail revenue PR24</v>
      </c>
      <c r="F28" s="88">
        <f xml:space="preserve">  InpS!F$67</f>
        <v>73.289586730670408</v>
      </c>
      <c r="G28" s="88" t="str">
        <f xml:space="preserve">  InpS!G$67</f>
        <v>£m</v>
      </c>
      <c r="M28" s="89"/>
    </row>
    <row r="29" spans="1:13" x14ac:dyDescent="0.2">
      <c r="E29" s="73" t="str">
        <f t="shared" ref="E29:G29" si="1" xml:space="preserve">  E$17</f>
        <v>Total number of households PR24</v>
      </c>
      <c r="F29" s="73">
        <f t="shared" si="1"/>
        <v>2625.0623727053376</v>
      </c>
      <c r="G29" s="73" t="str">
        <f t="shared" si="1"/>
        <v>000 customers</v>
      </c>
      <c r="M29" s="73"/>
    </row>
    <row r="30" spans="1:13" x14ac:dyDescent="0.2">
      <c r="A30" s="71"/>
      <c r="B30" s="71"/>
      <c r="C30" s="71"/>
      <c r="D30" s="71"/>
      <c r="E30" s="72" t="str">
        <f xml:space="preserve">  InpS!E$92</f>
        <v>Units in a thousand</v>
      </c>
      <c r="F30" s="72">
        <f xml:space="preserve">  InpS!F$92</f>
        <v>1000</v>
      </c>
      <c r="G30" s="72" t="str">
        <f xml:space="preserve">  InpS!G$92</f>
        <v>units</v>
      </c>
      <c r="M30" s="73"/>
    </row>
    <row r="31" spans="1:13" x14ac:dyDescent="0.2">
      <c r="E31" s="70" t="s">
        <v>158</v>
      </c>
      <c r="F31" s="89">
        <f xml:space="preserve">  $F28 / $F29 * $F30</f>
        <v>27.919179175594067</v>
      </c>
      <c r="G31" s="70" t="s">
        <v>50</v>
      </c>
      <c r="M31" s="89"/>
    </row>
    <row r="34" spans="1:13" x14ac:dyDescent="0.2">
      <c r="B34" s="69" t="s">
        <v>159</v>
      </c>
    </row>
    <row r="35" spans="1:13" x14ac:dyDescent="0.2">
      <c r="E35" s="89" t="str">
        <f t="shared" ref="E35:G35" si="2" xml:space="preserve">  E$31</f>
        <v>Retail revenue per customer PR24</v>
      </c>
      <c r="F35" s="89">
        <f xml:space="preserve">  F$31</f>
        <v>27.919179175594067</v>
      </c>
      <c r="G35" s="89" t="str">
        <f t="shared" si="2"/>
        <v>£ / customer</v>
      </c>
      <c r="M35" s="89"/>
    </row>
    <row r="36" spans="1:13" x14ac:dyDescent="0.2">
      <c r="E36" s="89" t="str">
        <f t="shared" ref="E36:G36" si="3" xml:space="preserve">  E$24</f>
        <v>Retail revenue per customer PR19</v>
      </c>
      <c r="F36" s="89">
        <f xml:space="preserve">  F$24</f>
        <v>24.815692299440705</v>
      </c>
      <c r="G36" s="89" t="str">
        <f t="shared" si="3"/>
        <v>£ / customer</v>
      </c>
      <c r="M36" s="89"/>
    </row>
    <row r="37" spans="1:13" x14ac:dyDescent="0.2">
      <c r="A37" s="75"/>
      <c r="B37" s="75"/>
      <c r="C37" s="75"/>
      <c r="D37" s="75"/>
      <c r="E37" s="75" t="s">
        <v>159</v>
      </c>
      <c r="F37" s="94">
        <f xml:space="preserve">  $F35 - $F36</f>
        <v>3.1034868761533616</v>
      </c>
      <c r="G37" s="75" t="s">
        <v>50</v>
      </c>
      <c r="M37" s="89"/>
    </row>
    <row r="40" spans="1:13" x14ac:dyDescent="0.2">
      <c r="B40" s="70" t="s">
        <v>98</v>
      </c>
    </row>
  </sheetData>
  <conditionalFormatting sqref="F2">
    <cfRule type="cellIs" dxfId="33" priority="3" stopIfTrue="1" operator="equal">
      <formula>""</formula>
    </cfRule>
  </conditionalFormatting>
  <conditionalFormatting sqref="F2:F3">
    <cfRule type="cellIs" dxfId="32" priority="1" stopIfTrue="1" operator="notEqual">
      <formula>0</formula>
    </cfRule>
  </conditionalFormatting>
  <conditionalFormatting sqref="J3:S3">
    <cfRule type="cellIs" dxfId="31" priority="9" operator="equal">
      <formula>"PPA ext."</formula>
    </cfRule>
    <cfRule type="cellIs" dxfId="30" priority="10" operator="equal">
      <formula>"Delay"</formula>
    </cfRule>
    <cfRule type="cellIs" dxfId="29" priority="11" operator="equal">
      <formula>"Fin Close"</formula>
    </cfRule>
    <cfRule type="cellIs" dxfId="28" priority="12" stopIfTrue="1" operator="equal">
      <formula>"Construction"</formula>
    </cfRule>
    <cfRule type="cellIs" dxfId="27" priority="13" stopIfTrue="1" operator="equal">
      <formula>"Operations"</formula>
    </cfRule>
  </conditionalFormatting>
  <pageMargins left="0.70866141732283472" right="0.70866141732283472" top="0.74803149606299213" bottom="0.74803149606299213" header="0.31496062992125984" footer="0.31496062992125984"/>
  <pageSetup paperSize="9" scale="50" orientation="portrait"/>
  <headerFooter>
    <oddHeader>&amp;L&amp;"-,Regular"&amp;9&amp;K63656APage &amp;P of &amp;N&amp;C&amp;"-,Regular"&amp;9&amp;K63656A&amp;F&amp;R&amp;G</oddHeader>
    <oddFooter>&amp;LSheet: &amp;A&amp;RPrinted on &amp;D at &amp;T</oddFooter>
  </headerFooter>
  <customProperties>
    <customPr name="MMGroup" r:id="rId1"/>
    <customPr name="MMSheetType" r:id="rId2"/>
    <customPr name="MMTimeAxis" r:id="rId3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  <pageSetUpPr fitToPage="1"/>
  </sheetPr>
  <dimension ref="A1:S28"/>
  <sheetViews>
    <sheetView showGridLines="0" workbookViewId="0">
      <pane xSplit="9" ySplit="5" topLeftCell="J6" activePane="bottomRight" state="frozen"/>
      <selection pane="topRight"/>
      <selection pane="bottomLeft"/>
      <selection pane="bottomRight" activeCell="F25" sqref="F25"/>
    </sheetView>
  </sheetViews>
  <sheetFormatPr defaultColWidth="0" defaultRowHeight="13" x14ac:dyDescent="0.2"/>
  <cols>
    <col min="1" max="4" width="1.44140625" style="70" customWidth="1"/>
    <col min="5" max="5" width="45.33203125" style="70" bestFit="1" customWidth="1"/>
    <col min="6" max="6" width="18.6640625" style="70" bestFit="1" customWidth="1"/>
    <col min="7" max="7" width="17" style="70" bestFit="1" customWidth="1"/>
    <col min="8" max="8" width="6.6640625" style="70" bestFit="1" customWidth="1"/>
    <col min="9" max="9" width="3.44140625" style="70" customWidth="1"/>
    <col min="10" max="19" width="11.109375" style="70" bestFit="1" customWidth="1"/>
    <col min="20" max="20" width="15.109375" style="70" hidden="1" customWidth="1"/>
    <col min="21" max="16384" width="15.109375" style="70" hidden="1"/>
  </cols>
  <sheetData>
    <row r="1" spans="1:19" s="20" customFormat="1" ht="26" x14ac:dyDescent="0.2">
      <c r="A1" s="25" t="str">
        <f ca="1" xml:space="preserve"> RIGHT(CELL("filename", A1), LEN(CELL("filename", A1)) - SEARCH("]", CELL("filename", A1)))</f>
        <v>Customer number impacts</v>
      </c>
      <c r="B1" s="19"/>
      <c r="C1" s="21"/>
      <c r="D1" s="17"/>
      <c r="F1" s="18" t="str">
        <f>HYPERLINK("#Contents!A1","Go to contents")</f>
        <v>Go to contents</v>
      </c>
      <c r="H1" s="12"/>
      <c r="J1" s="12"/>
    </row>
    <row r="2" spans="1:19" s="16" customFormat="1" x14ac:dyDescent="0.2">
      <c r="A2" s="13"/>
      <c r="B2" s="13"/>
      <c r="C2" s="23"/>
      <c r="D2" s="22"/>
      <c r="E2" s="6" t="s">
        <v>14</v>
      </c>
      <c r="F2" s="15">
        <v>0</v>
      </c>
      <c r="G2" s="14" t="s">
        <v>15</v>
      </c>
      <c r="H2" s="6"/>
      <c r="I2" s="6"/>
      <c r="J2" s="2">
        <f xml:space="preserve"> Time!J$13</f>
        <v>44286</v>
      </c>
      <c r="K2" s="2">
        <f xml:space="preserve"> Time!K$13</f>
        <v>44651</v>
      </c>
      <c r="L2" s="2">
        <f xml:space="preserve"> Time!L$13</f>
        <v>45016</v>
      </c>
      <c r="M2" s="2">
        <f xml:space="preserve"> Time!M$13</f>
        <v>45382</v>
      </c>
      <c r="N2" s="2">
        <f xml:space="preserve"> Time!N$13</f>
        <v>45747</v>
      </c>
      <c r="O2" s="2">
        <f xml:space="preserve"> Time!O$13</f>
        <v>46112</v>
      </c>
      <c r="P2" s="2">
        <f xml:space="preserve"> Time!P$13</f>
        <v>46477</v>
      </c>
      <c r="Q2" s="2">
        <f xml:space="preserve"> Time!Q$13</f>
        <v>46843</v>
      </c>
      <c r="R2" s="2">
        <f xml:space="preserve"> Time!R$13</f>
        <v>47208</v>
      </c>
      <c r="S2" s="2">
        <f xml:space="preserve"> Time!S$13</f>
        <v>47573</v>
      </c>
    </row>
    <row r="3" spans="1:19" s="11" customFormat="1" x14ac:dyDescent="0.2">
      <c r="A3" s="13"/>
      <c r="B3" s="13"/>
      <c r="C3" s="23"/>
      <c r="D3" s="22"/>
      <c r="E3" s="9" t="s">
        <v>16</v>
      </c>
      <c r="F3" s="15"/>
      <c r="G3" s="14" t="s">
        <v>17</v>
      </c>
      <c r="H3" s="6"/>
      <c r="I3" s="6"/>
      <c r="J3" s="3" t="str">
        <f xml:space="preserve"> Time!J$18</f>
        <v>PR19</v>
      </c>
      <c r="K3" s="3" t="str">
        <f xml:space="preserve"> Time!K$18</f>
        <v>PR19</v>
      </c>
      <c r="L3" s="3" t="str">
        <f xml:space="preserve"> Time!L$18</f>
        <v>PR19</v>
      </c>
      <c r="M3" s="3" t="str">
        <f xml:space="preserve"> Time!M$18</f>
        <v>PR19</v>
      </c>
      <c r="N3" s="3" t="str">
        <f xml:space="preserve"> Time!N$18</f>
        <v>PR19</v>
      </c>
      <c r="O3" s="3" t="str">
        <f xml:space="preserve"> Time!O$18</f>
        <v>PR24</v>
      </c>
      <c r="P3" s="3" t="str">
        <f xml:space="preserve"> Time!P$18</f>
        <v>PR24</v>
      </c>
      <c r="Q3" s="3" t="str">
        <f xml:space="preserve"> Time!Q$18</f>
        <v>PR24</v>
      </c>
      <c r="R3" s="3" t="str">
        <f xml:space="preserve"> Time!R$18</f>
        <v>PR24</v>
      </c>
      <c r="S3" s="3" t="str">
        <f xml:space="preserve"> Time!S$18</f>
        <v>PR24</v>
      </c>
    </row>
    <row r="4" spans="1:19" s="10" customFormat="1" x14ac:dyDescent="0.2">
      <c r="A4" s="13"/>
      <c r="B4" s="13"/>
      <c r="C4" s="23"/>
      <c r="D4" s="22"/>
      <c r="E4" s="6" t="s">
        <v>18</v>
      </c>
      <c r="F4" s="7"/>
      <c r="G4" s="6"/>
      <c r="H4" s="6"/>
      <c r="I4" s="6"/>
      <c r="J4" s="10">
        <f xml:space="preserve"> Time!J$23</f>
        <v>1</v>
      </c>
      <c r="K4" s="10">
        <f xml:space="preserve"> Time!K$23</f>
        <v>2</v>
      </c>
      <c r="L4" s="10">
        <f xml:space="preserve"> Time!L$23</f>
        <v>3</v>
      </c>
      <c r="M4" s="10">
        <f xml:space="preserve"> Time!M$23</f>
        <v>4</v>
      </c>
      <c r="N4" s="10">
        <f xml:space="preserve"> Time!N$23</f>
        <v>5</v>
      </c>
      <c r="O4" s="10">
        <f xml:space="preserve"> Time!O$23</f>
        <v>6</v>
      </c>
      <c r="P4" s="10">
        <f xml:space="preserve"> Time!P$23</f>
        <v>7</v>
      </c>
      <c r="Q4" s="10">
        <f xml:space="preserve"> Time!Q$23</f>
        <v>8</v>
      </c>
      <c r="R4" s="10">
        <f xml:space="preserve"> Time!R$23</f>
        <v>9</v>
      </c>
      <c r="S4" s="10">
        <f xml:space="preserve"> Time!S$23</f>
        <v>10</v>
      </c>
    </row>
    <row r="5" spans="1:19" s="11" customFormat="1" x14ac:dyDescent="0.2">
      <c r="A5" s="13"/>
      <c r="B5" s="13"/>
      <c r="C5" s="23"/>
      <c r="D5" s="22"/>
      <c r="E5" s="6" t="s">
        <v>19</v>
      </c>
      <c r="F5" s="7" t="s">
        <v>20</v>
      </c>
      <c r="G5" s="7" t="s">
        <v>21</v>
      </c>
      <c r="H5" s="7" t="s">
        <v>22</v>
      </c>
      <c r="I5" s="6"/>
      <c r="J5" s="1">
        <f xml:space="preserve"> Time!J$27</f>
        <v>1</v>
      </c>
      <c r="K5" s="1">
        <f xml:space="preserve"> Time!K$27</f>
        <v>2</v>
      </c>
      <c r="L5" s="1">
        <f xml:space="preserve"> Time!L$27</f>
        <v>3</v>
      </c>
      <c r="M5" s="1">
        <f xml:space="preserve"> Time!M$27</f>
        <v>4</v>
      </c>
      <c r="N5" s="1">
        <f xml:space="preserve"> Time!N$27</f>
        <v>5</v>
      </c>
      <c r="O5" s="1">
        <f xml:space="preserve"> Time!O$27</f>
        <v>6</v>
      </c>
      <c r="P5" s="1">
        <f xml:space="preserve"> Time!P$27</f>
        <v>7</v>
      </c>
      <c r="Q5" s="1">
        <f xml:space="preserve"> Time!Q$27</f>
        <v>8</v>
      </c>
      <c r="R5" s="1">
        <f xml:space="preserve"> Time!R$27</f>
        <v>9</v>
      </c>
      <c r="S5" s="1">
        <f xml:space="preserve"> Time!S$27</f>
        <v>10</v>
      </c>
    </row>
    <row r="6" spans="1:19" s="9" customFormat="1" x14ac:dyDescent="0.2">
      <c r="A6" s="7"/>
      <c r="B6" s="7"/>
      <c r="C6" s="24"/>
      <c r="F6" s="7"/>
      <c r="G6" s="7"/>
      <c r="H6" s="7"/>
    </row>
    <row r="8" spans="1:19" x14ac:dyDescent="0.2">
      <c r="B8" s="69" t="s">
        <v>160</v>
      </c>
    </row>
    <row r="9" spans="1:19" x14ac:dyDescent="0.2">
      <c r="A9" s="71"/>
      <c r="B9" s="71"/>
      <c r="C9" s="71"/>
      <c r="D9" s="71"/>
      <c r="E9" s="92" t="str">
        <f xml:space="preserve">  InpS!E$57</f>
        <v>Housing apportionment PR19</v>
      </c>
      <c r="F9" s="92">
        <f xml:space="preserve">  InpS!F$57</f>
        <v>0.80203698186810568</v>
      </c>
      <c r="G9" s="92" t="str">
        <f xml:space="preserve">  InpS!G$57</f>
        <v>%</v>
      </c>
      <c r="M9" s="93"/>
    </row>
    <row r="10" spans="1:19" x14ac:dyDescent="0.2">
      <c r="A10" s="71"/>
      <c r="B10" s="71"/>
      <c r="C10" s="71"/>
      <c r="D10" s="71"/>
      <c r="E10" s="72" t="str">
        <f xml:space="preserve">  'Cost to serve'!E$11</f>
        <v>Total number of households PR19</v>
      </c>
      <c r="F10" s="72">
        <f xml:space="preserve">  'Cost to serve'!F$11</f>
        <v>2400.3662590700101</v>
      </c>
      <c r="G10" s="72" t="str">
        <f xml:space="preserve">  'Cost to serve'!G$11</f>
        <v>000 customers</v>
      </c>
      <c r="M10" s="73"/>
    </row>
    <row r="11" spans="1:19" x14ac:dyDescent="0.2">
      <c r="E11" s="70" t="s">
        <v>160</v>
      </c>
      <c r="F11" s="93">
        <f xml:space="preserve">  $F9 / $F10</f>
        <v>3.3413108471989781E-4</v>
      </c>
      <c r="G11" s="70" t="s">
        <v>161</v>
      </c>
      <c r="M11" s="93"/>
    </row>
    <row r="14" spans="1:19" x14ac:dyDescent="0.2">
      <c r="B14" s="69" t="s">
        <v>162</v>
      </c>
    </row>
    <row r="15" spans="1:19" x14ac:dyDescent="0.2">
      <c r="A15" s="71"/>
      <c r="B15" s="71"/>
      <c r="C15" s="71"/>
      <c r="D15" s="71"/>
      <c r="E15" s="92" t="str">
        <f xml:space="preserve">  InpS!E$58</f>
        <v>Housing apportionment PR24</v>
      </c>
      <c r="F15" s="92">
        <f xml:space="preserve">  InpS!F$58</f>
        <v>0.84244629590802944</v>
      </c>
      <c r="G15" s="92" t="str">
        <f xml:space="preserve">  InpS!G$58</f>
        <v>%</v>
      </c>
      <c r="M15" s="93"/>
    </row>
    <row r="16" spans="1:19" x14ac:dyDescent="0.2">
      <c r="A16" s="71"/>
      <c r="B16" s="71"/>
      <c r="C16" s="71"/>
      <c r="D16" s="71"/>
      <c r="E16" s="72" t="str">
        <f xml:space="preserve">  'Cost to serve'!E$17</f>
        <v>Total number of households PR24</v>
      </c>
      <c r="F16" s="72">
        <f xml:space="preserve">  'Cost to serve'!F$17</f>
        <v>2625.0623727053376</v>
      </c>
      <c r="G16" s="72" t="str">
        <f xml:space="preserve">  'Cost to serve'!G$17</f>
        <v>000 customers</v>
      </c>
      <c r="M16" s="73"/>
    </row>
    <row r="17" spans="1:13" x14ac:dyDescent="0.2">
      <c r="E17" s="70" t="s">
        <v>162</v>
      </c>
      <c r="F17" s="93">
        <f xml:space="preserve">  $F15 / $F16</f>
        <v>3.2092429675864077E-4</v>
      </c>
      <c r="G17" s="70" t="s">
        <v>161</v>
      </c>
      <c r="M17" s="93"/>
    </row>
    <row r="20" spans="1:13" x14ac:dyDescent="0.2">
      <c r="B20" s="69" t="s">
        <v>163</v>
      </c>
    </row>
    <row r="21" spans="1:13" x14ac:dyDescent="0.2">
      <c r="A21" s="71"/>
      <c r="B21" s="71"/>
      <c r="C21" s="71"/>
      <c r="D21" s="71"/>
      <c r="E21" s="88" t="str">
        <f xml:space="preserve">  InpS!E$33</f>
        <v>Total wholesale revenues PR24</v>
      </c>
      <c r="F21" s="88">
        <f xml:space="preserve">  InpS!F$33</f>
        <v>1653.0129089041025</v>
      </c>
      <c r="G21" s="88" t="str">
        <f xml:space="preserve">  InpS!G$33</f>
        <v>£m</v>
      </c>
      <c r="M21" s="89"/>
    </row>
    <row r="22" spans="1:13" x14ac:dyDescent="0.2">
      <c r="E22" s="93" t="str">
        <f t="shared" ref="E22:G22" si="0" xml:space="preserve">  E$17</f>
        <v>Housing apportionment per customer PR24</v>
      </c>
      <c r="F22" s="93">
        <f xml:space="preserve">  F$17</f>
        <v>3.2092429675864077E-4</v>
      </c>
      <c r="G22" s="93" t="str">
        <f t="shared" si="0"/>
        <v>% / customer</v>
      </c>
      <c r="M22" s="93"/>
    </row>
    <row r="23" spans="1:13" x14ac:dyDescent="0.2">
      <c r="E23" s="93" t="str">
        <f t="shared" ref="E23:G23" si="1" xml:space="preserve">  E$11</f>
        <v>Housing apportionment per customer PR19</v>
      </c>
      <c r="F23" s="93">
        <f t="shared" si="1"/>
        <v>3.3413108471989781E-4</v>
      </c>
      <c r="G23" s="93" t="str">
        <f t="shared" si="1"/>
        <v>% / customer</v>
      </c>
      <c r="M23" s="93"/>
    </row>
    <row r="24" spans="1:13" x14ac:dyDescent="0.2">
      <c r="A24" s="71"/>
      <c r="B24" s="71"/>
      <c r="C24" s="71"/>
      <c r="D24" s="71"/>
      <c r="E24" s="72" t="str">
        <f xml:space="preserve">  InpS!E$92</f>
        <v>Units in a thousand</v>
      </c>
      <c r="F24" s="72">
        <f xml:space="preserve">  InpS!F$92</f>
        <v>1000</v>
      </c>
      <c r="G24" s="72" t="str">
        <f xml:space="preserve">  InpS!G$92</f>
        <v>units</v>
      </c>
      <c r="M24" s="73"/>
    </row>
    <row r="25" spans="1:13" x14ac:dyDescent="0.2">
      <c r="A25" s="75"/>
      <c r="B25" s="75"/>
      <c r="C25" s="75"/>
      <c r="D25" s="75"/>
      <c r="E25" s="75" t="s">
        <v>163</v>
      </c>
      <c r="F25" s="94">
        <f xml:space="preserve">  $F21 * ( $F22 - $F23 ) * $F24</f>
        <v>-21.830990985117182</v>
      </c>
      <c r="G25" s="75" t="s">
        <v>50</v>
      </c>
      <c r="M25" s="89"/>
    </row>
    <row r="28" spans="1:13" x14ac:dyDescent="0.2">
      <c r="B28" s="70" t="s">
        <v>98</v>
      </c>
    </row>
  </sheetData>
  <conditionalFormatting sqref="F2">
    <cfRule type="cellIs" dxfId="26" priority="3" stopIfTrue="1" operator="equal">
      <formula>""</formula>
    </cfRule>
  </conditionalFormatting>
  <conditionalFormatting sqref="F2:F3">
    <cfRule type="cellIs" dxfId="25" priority="1" stopIfTrue="1" operator="notEqual">
      <formula>0</formula>
    </cfRule>
  </conditionalFormatting>
  <conditionalFormatting sqref="J3:S3">
    <cfRule type="cellIs" dxfId="24" priority="9" operator="equal">
      <formula>"PPA ext."</formula>
    </cfRule>
    <cfRule type="cellIs" dxfId="23" priority="10" operator="equal">
      <formula>"Delay"</formula>
    </cfRule>
    <cfRule type="cellIs" dxfId="22" priority="11" operator="equal">
      <formula>"Fin Close"</formula>
    </cfRule>
    <cfRule type="cellIs" dxfId="21" priority="12" stopIfTrue="1" operator="equal">
      <formula>"Construction"</formula>
    </cfRule>
    <cfRule type="cellIs" dxfId="20" priority="13" stopIfTrue="1" operator="equal">
      <formula>"Operations"</formula>
    </cfRule>
  </conditionalFormatting>
  <pageMargins left="0.70866141732283472" right="0.70866141732283472" top="0.74803149606299213" bottom="0.74803149606299213" header="0.31496062992125984" footer="0.31496062992125984"/>
  <pageSetup paperSize="9" scale="50" orientation="portrait"/>
  <headerFooter>
    <oddHeader>&amp;L&amp;"-,Regular"&amp;9&amp;K63656APage &amp;P of &amp;N&amp;C&amp;"-,Regular"&amp;9&amp;K63656A&amp;F&amp;R&amp;G</oddHeader>
    <oddFooter>&amp;LSheet: &amp;A&amp;RPrinted on &amp;D at &amp;T</oddFooter>
  </headerFooter>
  <customProperties>
    <customPr name="MMGroup" r:id="rId1"/>
    <customPr name="MMSheetType" r:id="rId2"/>
    <customPr name="MMTimeAxis" r:id="rId3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 summaryRight="0"/>
    <pageSetUpPr fitToPage="1"/>
  </sheetPr>
  <dimension ref="A1:S207"/>
  <sheetViews>
    <sheetView showGridLines="0" workbookViewId="0">
      <pane xSplit="9" ySplit="5" topLeftCell="J6" activePane="bottomRight" state="frozen"/>
      <selection activeCell="F54" sqref="F48:F54"/>
      <selection pane="topRight" activeCell="F54" sqref="F48:F54"/>
      <selection pane="bottomLeft" activeCell="F54" sqref="F48:F54"/>
      <selection pane="bottomRight" activeCell="J6" sqref="J6"/>
    </sheetView>
  </sheetViews>
  <sheetFormatPr defaultColWidth="0" defaultRowHeight="13" outlineLevelRow="1" x14ac:dyDescent="0.2"/>
  <cols>
    <col min="1" max="4" width="1.44140625" style="70" customWidth="1"/>
    <col min="5" max="5" width="46.33203125" style="70" bestFit="1" customWidth="1"/>
    <col min="6" max="6" width="18.6640625" style="70" bestFit="1" customWidth="1"/>
    <col min="7" max="7" width="14.6640625" style="70" bestFit="1" customWidth="1"/>
    <col min="8" max="8" width="6.6640625" style="70" bestFit="1" customWidth="1"/>
    <col min="9" max="9" width="3.44140625" style="70" customWidth="1"/>
    <col min="10" max="19" width="11.109375" style="70" bestFit="1" customWidth="1"/>
    <col min="20" max="20" width="15.109375" style="70" hidden="1" customWidth="1"/>
    <col min="21" max="16384" width="15.109375" style="70" hidden="1"/>
  </cols>
  <sheetData>
    <row r="1" spans="1:19" s="20" customFormat="1" ht="26" x14ac:dyDescent="0.2">
      <c r="A1" s="25" t="str">
        <f ca="1" xml:space="preserve"> RIGHT(CELL("filename", A1), LEN(CELL("filename", A1)) - SEARCH("]", CELL("filename", A1)))</f>
        <v>Breakdown by costs</v>
      </c>
      <c r="B1" s="19"/>
      <c r="C1" s="21"/>
      <c r="D1" s="17"/>
      <c r="F1" s="18" t="str">
        <f>HYPERLINK("#Contents!A1","Go to contents")</f>
        <v>Go to contents</v>
      </c>
      <c r="H1" s="12"/>
      <c r="J1" s="12"/>
    </row>
    <row r="2" spans="1:19" s="16" customFormat="1" x14ac:dyDescent="0.2">
      <c r="A2" s="13"/>
      <c r="B2" s="13"/>
      <c r="C2" s="23"/>
      <c r="D2" s="22"/>
      <c r="E2" s="6" t="s">
        <v>14</v>
      </c>
      <c r="F2" s="15">
        <v>0</v>
      </c>
      <c r="G2" s="14" t="s">
        <v>15</v>
      </c>
      <c r="H2" s="6"/>
      <c r="I2" s="6"/>
      <c r="J2" s="2">
        <f xml:space="preserve"> Time!J$13</f>
        <v>44286</v>
      </c>
      <c r="K2" s="2">
        <f xml:space="preserve"> Time!K$13</f>
        <v>44651</v>
      </c>
      <c r="L2" s="2">
        <f xml:space="preserve"> Time!L$13</f>
        <v>45016</v>
      </c>
      <c r="M2" s="2">
        <f xml:space="preserve"> Time!M$13</f>
        <v>45382</v>
      </c>
      <c r="N2" s="2">
        <f xml:space="preserve"> Time!N$13</f>
        <v>45747</v>
      </c>
      <c r="O2" s="2">
        <f xml:space="preserve"> Time!O$13</f>
        <v>46112</v>
      </c>
      <c r="P2" s="2">
        <f xml:space="preserve"> Time!P$13</f>
        <v>46477</v>
      </c>
      <c r="Q2" s="2">
        <f xml:space="preserve"> Time!Q$13</f>
        <v>46843</v>
      </c>
      <c r="R2" s="2">
        <f xml:space="preserve"> Time!R$13</f>
        <v>47208</v>
      </c>
      <c r="S2" s="2">
        <f xml:space="preserve"> Time!S$13</f>
        <v>47573</v>
      </c>
    </row>
    <row r="3" spans="1:19" s="11" customFormat="1" x14ac:dyDescent="0.2">
      <c r="A3" s="13"/>
      <c r="B3" s="13"/>
      <c r="C3" s="23"/>
      <c r="D3" s="22"/>
      <c r="E3" s="9" t="s">
        <v>16</v>
      </c>
      <c r="F3" s="15"/>
      <c r="G3" s="14" t="s">
        <v>17</v>
      </c>
      <c r="H3" s="6"/>
      <c r="I3" s="6"/>
      <c r="J3" s="3" t="str">
        <f xml:space="preserve"> Time!J$18</f>
        <v>PR19</v>
      </c>
      <c r="K3" s="3" t="str">
        <f xml:space="preserve"> Time!K$18</f>
        <v>PR19</v>
      </c>
      <c r="L3" s="3" t="str">
        <f xml:space="preserve"> Time!L$18</f>
        <v>PR19</v>
      </c>
      <c r="M3" s="3" t="str">
        <f xml:space="preserve"> Time!M$18</f>
        <v>PR19</v>
      </c>
      <c r="N3" s="3" t="str">
        <f xml:space="preserve"> Time!N$18</f>
        <v>PR19</v>
      </c>
      <c r="O3" s="3" t="str">
        <f xml:space="preserve"> Time!O$18</f>
        <v>PR24</v>
      </c>
      <c r="P3" s="3" t="str">
        <f xml:space="preserve"> Time!P$18</f>
        <v>PR24</v>
      </c>
      <c r="Q3" s="3" t="str">
        <f xml:space="preserve"> Time!Q$18</f>
        <v>PR24</v>
      </c>
      <c r="R3" s="3" t="str">
        <f xml:space="preserve"> Time!R$18</f>
        <v>PR24</v>
      </c>
      <c r="S3" s="3" t="str">
        <f xml:space="preserve"> Time!S$18</f>
        <v>PR24</v>
      </c>
    </row>
    <row r="4" spans="1:19" s="10" customFormat="1" x14ac:dyDescent="0.2">
      <c r="A4" s="13"/>
      <c r="B4" s="13"/>
      <c r="C4" s="23"/>
      <c r="D4" s="22"/>
      <c r="E4" s="6" t="s">
        <v>18</v>
      </c>
      <c r="F4" s="7"/>
      <c r="G4" s="6"/>
      <c r="H4" s="6"/>
      <c r="I4" s="6"/>
      <c r="J4" s="10">
        <f xml:space="preserve"> Time!J$23</f>
        <v>1</v>
      </c>
      <c r="K4" s="10">
        <f xml:space="preserve"> Time!K$23</f>
        <v>2</v>
      </c>
      <c r="L4" s="10">
        <f xml:space="preserve"> Time!L$23</f>
        <v>3</v>
      </c>
      <c r="M4" s="10">
        <f xml:space="preserve"> Time!M$23</f>
        <v>4</v>
      </c>
      <c r="N4" s="10">
        <f xml:space="preserve"> Time!N$23</f>
        <v>5</v>
      </c>
      <c r="O4" s="10">
        <f xml:space="preserve"> Time!O$23</f>
        <v>6</v>
      </c>
      <c r="P4" s="10">
        <f xml:space="preserve"> Time!P$23</f>
        <v>7</v>
      </c>
      <c r="Q4" s="10">
        <f xml:space="preserve"> Time!Q$23</f>
        <v>8</v>
      </c>
      <c r="R4" s="10">
        <f xml:space="preserve"> Time!R$23</f>
        <v>9</v>
      </c>
      <c r="S4" s="10">
        <f xml:space="preserve"> Time!S$23</f>
        <v>10</v>
      </c>
    </row>
    <row r="5" spans="1:19" s="11" customFormat="1" x14ac:dyDescent="0.2">
      <c r="A5" s="13"/>
      <c r="B5" s="13"/>
      <c r="C5" s="23"/>
      <c r="D5" s="22"/>
      <c r="E5" s="6" t="s">
        <v>19</v>
      </c>
      <c r="F5" s="7" t="s">
        <v>20</v>
      </c>
      <c r="G5" s="7" t="s">
        <v>21</v>
      </c>
      <c r="H5" s="7" t="s">
        <v>22</v>
      </c>
      <c r="I5" s="6"/>
      <c r="J5" s="1">
        <f xml:space="preserve"> Time!J$27</f>
        <v>1</v>
      </c>
      <c r="K5" s="1">
        <f xml:space="preserve"> Time!K$27</f>
        <v>2</v>
      </c>
      <c r="L5" s="1">
        <f xml:space="preserve"> Time!L$27</f>
        <v>3</v>
      </c>
      <c r="M5" s="1">
        <f xml:space="preserve"> Time!M$27</f>
        <v>4</v>
      </c>
      <c r="N5" s="1">
        <f xml:space="preserve"> Time!N$27</f>
        <v>5</v>
      </c>
      <c r="O5" s="1">
        <f xml:space="preserve"> Time!O$27</f>
        <v>6</v>
      </c>
      <c r="P5" s="1">
        <f xml:space="preserve"> Time!P$27</f>
        <v>7</v>
      </c>
      <c r="Q5" s="1">
        <f xml:space="preserve"> Time!Q$27</f>
        <v>8</v>
      </c>
      <c r="R5" s="1">
        <f xml:space="preserve"> Time!R$27</f>
        <v>9</v>
      </c>
      <c r="S5" s="1">
        <f xml:space="preserve"> Time!S$27</f>
        <v>10</v>
      </c>
    </row>
    <row r="6" spans="1:19" s="9" customFormat="1" x14ac:dyDescent="0.2">
      <c r="A6" s="7"/>
      <c r="B6" s="7"/>
      <c r="C6" s="24"/>
      <c r="F6" s="7"/>
      <c r="G6" s="7"/>
      <c r="H6" s="7"/>
    </row>
    <row r="8" spans="1:19" x14ac:dyDescent="0.2">
      <c r="B8" s="69" t="s">
        <v>164</v>
      </c>
    </row>
    <row r="9" spans="1:19" x14ac:dyDescent="0.2">
      <c r="A9" s="71"/>
      <c r="B9" s="71"/>
      <c r="C9" s="71"/>
      <c r="D9" s="71"/>
      <c r="E9" s="88" t="str">
        <f xml:space="preserve">  Totex!E$93</f>
        <v>Average totex increase/(decrease)</v>
      </c>
      <c r="F9" s="88">
        <f xml:space="preserve">  Totex!F$93</f>
        <v>83.983823522995124</v>
      </c>
      <c r="G9" s="88" t="str">
        <f xml:space="preserve">  Totex!G$93</f>
        <v>£ / customer</v>
      </c>
      <c r="M9" s="89"/>
    </row>
    <row r="10" spans="1:19" x14ac:dyDescent="0.2">
      <c r="A10" s="71"/>
      <c r="B10" s="71"/>
      <c r="C10" s="71"/>
      <c r="D10" s="71"/>
      <c r="E10" s="88" t="str">
        <f xml:space="preserve">  Totex!E$112</f>
        <v>Final Impact of PAYG rate change</v>
      </c>
      <c r="F10" s="88">
        <f xml:space="preserve">  Totex!F$112</f>
        <v>-34.7670949157216</v>
      </c>
      <c r="G10" s="88" t="str">
        <f xml:space="preserve">  Totex!G$112</f>
        <v>£ / customer</v>
      </c>
      <c r="M10" s="89"/>
    </row>
    <row r="11" spans="1:19" x14ac:dyDescent="0.2">
      <c r="A11" s="71"/>
      <c r="B11" s="71"/>
      <c r="C11" s="71"/>
      <c r="D11" s="71"/>
      <c r="E11" s="88" t="str">
        <f xml:space="preserve">  RCV!E$73</f>
        <v>RCV</v>
      </c>
      <c r="F11" s="88">
        <f xml:space="preserve">  RCV!F$73</f>
        <v>30.346119591613522</v>
      </c>
      <c r="G11" s="88" t="str">
        <f xml:space="preserve">  RCV!G$73</f>
        <v>£ / customer</v>
      </c>
      <c r="M11" s="89"/>
    </row>
    <row r="12" spans="1:19" x14ac:dyDescent="0.2">
      <c r="A12" s="71"/>
      <c r="B12" s="71"/>
      <c r="C12" s="71"/>
      <c r="D12" s="71"/>
      <c r="E12" s="88" t="str">
        <f xml:space="preserve">  RCV!E$80</f>
        <v>Run-off rates</v>
      </c>
      <c r="F12" s="88">
        <f xml:space="preserve">  RCV!F$80</f>
        <v>-14.666679165346604</v>
      </c>
      <c r="G12" s="88" t="str">
        <f xml:space="preserve">  RCV!G$80</f>
        <v>£ / customer</v>
      </c>
      <c r="M12" s="89"/>
    </row>
    <row r="13" spans="1:19" x14ac:dyDescent="0.2">
      <c r="E13" s="70" t="s">
        <v>164</v>
      </c>
      <c r="F13" s="89">
        <f xml:space="preserve">  $F9 + $F10 + $F11 + $F12</f>
        <v>64.896169033540446</v>
      </c>
      <c r="G13" s="70" t="s">
        <v>50</v>
      </c>
      <c r="M13" s="89"/>
    </row>
    <row r="17" spans="1:13" x14ac:dyDescent="0.2">
      <c r="A17" s="69" t="s">
        <v>165</v>
      </c>
    </row>
    <row r="18" spans="1:13" outlineLevel="1" x14ac:dyDescent="0.2">
      <c r="B18" s="69" t="s">
        <v>166</v>
      </c>
    </row>
    <row r="19" spans="1:13" outlineLevel="1" x14ac:dyDescent="0.2">
      <c r="A19" s="71"/>
      <c r="B19" s="71"/>
      <c r="C19" s="71"/>
      <c r="D19" s="71"/>
      <c r="E19" s="88" t="str">
        <f xml:space="preserve">  InpS!E$72</f>
        <v>Base expenditure PR24</v>
      </c>
      <c r="F19" s="88">
        <f xml:space="preserve">  InpS!F$72</f>
        <v>4621.0774468957752</v>
      </c>
      <c r="G19" s="88" t="str">
        <f xml:space="preserve">  InpS!G$72</f>
        <v>£m</v>
      </c>
      <c r="M19" s="89"/>
    </row>
    <row r="20" spans="1:13" outlineLevel="1" x14ac:dyDescent="0.2">
      <c r="A20" s="71"/>
      <c r="B20" s="71"/>
      <c r="C20" s="71"/>
      <c r="D20" s="71"/>
      <c r="E20" s="88" t="str">
        <f xml:space="preserve">  InpS!E$71</f>
        <v>Pre-inflation base expenditure PR19</v>
      </c>
      <c r="F20" s="88">
        <f xml:space="preserve">  InpS!F$71</f>
        <v>3383.3283627519231</v>
      </c>
      <c r="G20" s="88" t="str">
        <f xml:space="preserve">  InpS!G$71</f>
        <v>£m</v>
      </c>
      <c r="M20" s="89"/>
    </row>
    <row r="21" spans="1:13" outlineLevel="1" x14ac:dyDescent="0.2">
      <c r="A21" s="71"/>
      <c r="B21" s="71"/>
      <c r="C21" s="71"/>
      <c r="D21" s="71"/>
      <c r="E21" s="90" t="str">
        <f xml:space="preserve">  Wholesale!E$11</f>
        <v>CPIH factor</v>
      </c>
      <c r="F21" s="90">
        <f xml:space="preserve">  Wholesale!F$11</f>
        <v>1.1806332960179113</v>
      </c>
      <c r="G21" s="90" t="str">
        <f xml:space="preserve">  Wholesale!G$11</f>
        <v>factor</v>
      </c>
      <c r="M21" s="91"/>
    </row>
    <row r="22" spans="1:13" outlineLevel="1" x14ac:dyDescent="0.2">
      <c r="E22" s="70" t="s">
        <v>166</v>
      </c>
      <c r="F22" s="89">
        <f xml:space="preserve">  $F19 - ( $F20 * $F21 )</f>
        <v>626.60733046908854</v>
      </c>
      <c r="G22" s="70" t="s">
        <v>29</v>
      </c>
      <c r="M22" s="89"/>
    </row>
    <row r="23" spans="1:13" outlineLevel="1" x14ac:dyDescent="0.2"/>
    <row r="24" spans="1:13" outlineLevel="1" x14ac:dyDescent="0.2"/>
    <row r="25" spans="1:13" outlineLevel="1" x14ac:dyDescent="0.2">
      <c r="B25" s="69" t="s">
        <v>167</v>
      </c>
    </row>
    <row r="26" spans="1:13" outlineLevel="1" x14ac:dyDescent="0.2">
      <c r="A26" s="71"/>
      <c r="B26" s="71"/>
      <c r="C26" s="71"/>
      <c r="D26" s="71"/>
      <c r="E26" s="88" t="str">
        <f xml:space="preserve">  InpS!E$74</f>
        <v>Storm overflows PR24</v>
      </c>
      <c r="F26" s="88">
        <f xml:space="preserve">  InpS!F$74</f>
        <v>510.04781067676237</v>
      </c>
      <c r="G26" s="88" t="str">
        <f xml:space="preserve">  InpS!G$74</f>
        <v>£m</v>
      </c>
      <c r="M26" s="89"/>
    </row>
    <row r="27" spans="1:13" outlineLevel="1" x14ac:dyDescent="0.2">
      <c r="A27" s="71"/>
      <c r="B27" s="71"/>
      <c r="C27" s="71"/>
      <c r="D27" s="71"/>
      <c r="E27" s="88" t="str">
        <f xml:space="preserve">  InpS!E$73</f>
        <v>Pre-inflation storm overflows PR19</v>
      </c>
      <c r="F27" s="88">
        <f xml:space="preserve">  InpS!F$73</f>
        <v>202.65905094388188</v>
      </c>
      <c r="G27" s="88" t="str">
        <f xml:space="preserve">  InpS!G$73</f>
        <v>£m</v>
      </c>
      <c r="M27" s="89"/>
    </row>
    <row r="28" spans="1:13" outlineLevel="1" x14ac:dyDescent="0.2">
      <c r="A28" s="71"/>
      <c r="B28" s="71"/>
      <c r="C28" s="71"/>
      <c r="D28" s="71"/>
      <c r="E28" s="90" t="str">
        <f xml:space="preserve">  Wholesale!E$11</f>
        <v>CPIH factor</v>
      </c>
      <c r="F28" s="90">
        <f xml:space="preserve">  Wholesale!F$11</f>
        <v>1.1806332960179113</v>
      </c>
      <c r="G28" s="90" t="str">
        <f xml:space="preserve">  Wholesale!G$11</f>
        <v>factor</v>
      </c>
      <c r="M28" s="91"/>
    </row>
    <row r="29" spans="1:13" outlineLevel="1" x14ac:dyDescent="0.2">
      <c r="E29" s="70" t="s">
        <v>167</v>
      </c>
      <c r="F29" s="89">
        <f xml:space="preserve">  $F26 - ( $F27 * $F28 )</f>
        <v>270.7817873930253</v>
      </c>
      <c r="G29" s="70" t="s">
        <v>29</v>
      </c>
      <c r="M29" s="89"/>
    </row>
    <row r="30" spans="1:13" outlineLevel="1" x14ac:dyDescent="0.2"/>
    <row r="31" spans="1:13" outlineLevel="1" x14ac:dyDescent="0.2"/>
    <row r="32" spans="1:13" outlineLevel="1" x14ac:dyDescent="0.2">
      <c r="B32" s="69" t="s">
        <v>168</v>
      </c>
    </row>
    <row r="33" spans="1:13" outlineLevel="1" x14ac:dyDescent="0.2">
      <c r="A33" s="71"/>
      <c r="B33" s="71"/>
      <c r="C33" s="71"/>
      <c r="D33" s="71"/>
      <c r="E33" s="88" t="str">
        <f xml:space="preserve">  InpS!E$76</f>
        <v>Nutrient removal PR24</v>
      </c>
      <c r="F33" s="88">
        <f xml:space="preserve">  InpS!F$76</f>
        <v>736.79674057391276</v>
      </c>
      <c r="G33" s="88" t="str">
        <f xml:space="preserve">  InpS!G$76</f>
        <v>£m</v>
      </c>
      <c r="M33" s="89"/>
    </row>
    <row r="34" spans="1:13" outlineLevel="1" x14ac:dyDescent="0.2">
      <c r="A34" s="71"/>
      <c r="B34" s="71"/>
      <c r="C34" s="71"/>
      <c r="D34" s="71"/>
      <c r="E34" s="88" t="str">
        <f xml:space="preserve">  InpS!E$75</f>
        <v>Pre-inflation nutrient removal PR19</v>
      </c>
      <c r="F34" s="88">
        <f xml:space="preserve">  InpS!F$75</f>
        <v>424.18457053875591</v>
      </c>
      <c r="G34" s="88" t="str">
        <f xml:space="preserve">  InpS!G$75</f>
        <v>£m</v>
      </c>
      <c r="M34" s="89"/>
    </row>
    <row r="35" spans="1:13" outlineLevel="1" x14ac:dyDescent="0.2">
      <c r="A35" s="71"/>
      <c r="B35" s="71"/>
      <c r="C35" s="71"/>
      <c r="D35" s="71"/>
      <c r="E35" s="90" t="str">
        <f xml:space="preserve">  Wholesale!E$11</f>
        <v>CPIH factor</v>
      </c>
      <c r="F35" s="90">
        <f xml:space="preserve">  Wholesale!F$11</f>
        <v>1.1806332960179113</v>
      </c>
      <c r="G35" s="90" t="str">
        <f xml:space="preserve">  Wholesale!G$11</f>
        <v>factor</v>
      </c>
      <c r="M35" s="91"/>
    </row>
    <row r="36" spans="1:13" outlineLevel="1" x14ac:dyDescent="0.2">
      <c r="E36" s="70" t="s">
        <v>168</v>
      </c>
      <c r="F36" s="89">
        <f xml:space="preserve">  $F33 - ( $F34 * $F35 )</f>
        <v>235.99031293879915</v>
      </c>
      <c r="G36" s="70" t="s">
        <v>29</v>
      </c>
      <c r="M36" s="89"/>
    </row>
    <row r="37" spans="1:13" outlineLevel="1" x14ac:dyDescent="0.2"/>
    <row r="38" spans="1:13" outlineLevel="1" x14ac:dyDescent="0.2"/>
    <row r="39" spans="1:13" outlineLevel="1" x14ac:dyDescent="0.2">
      <c r="B39" s="69" t="s">
        <v>169</v>
      </c>
    </row>
    <row r="40" spans="1:13" outlineLevel="1" x14ac:dyDescent="0.2">
      <c r="A40" s="71"/>
      <c r="B40" s="71"/>
      <c r="C40" s="71"/>
      <c r="D40" s="71"/>
      <c r="E40" s="88" t="str">
        <f xml:space="preserve">  InpS!E$78</f>
        <v>Resilience PR24</v>
      </c>
      <c r="F40" s="88">
        <f xml:space="preserve">  InpS!F$78</f>
        <v>231.92143255440783</v>
      </c>
      <c r="G40" s="88" t="str">
        <f xml:space="preserve">  InpS!G$78</f>
        <v>£m</v>
      </c>
      <c r="M40" s="89"/>
    </row>
    <row r="41" spans="1:13" outlineLevel="1" x14ac:dyDescent="0.2">
      <c r="A41" s="71"/>
      <c r="B41" s="71"/>
      <c r="C41" s="71"/>
      <c r="D41" s="71"/>
      <c r="E41" s="88" t="str">
        <f xml:space="preserve">  InpS!E$77</f>
        <v>Pre-inflation resilience PR19</v>
      </c>
      <c r="F41" s="88">
        <f xml:space="preserve">  InpS!F$77</f>
        <v>46.557253534674892</v>
      </c>
      <c r="G41" s="88" t="str">
        <f xml:space="preserve">  InpS!G$77</f>
        <v>£m</v>
      </c>
      <c r="M41" s="89"/>
    </row>
    <row r="42" spans="1:13" outlineLevel="1" x14ac:dyDescent="0.2">
      <c r="A42" s="71"/>
      <c r="B42" s="71"/>
      <c r="C42" s="71"/>
      <c r="D42" s="71"/>
      <c r="E42" s="90" t="str">
        <f xml:space="preserve">  Wholesale!E$11</f>
        <v>CPIH factor</v>
      </c>
      <c r="F42" s="90">
        <f xml:space="preserve">  Wholesale!F$11</f>
        <v>1.1806332960179113</v>
      </c>
      <c r="G42" s="90" t="str">
        <f xml:space="preserve">  Wholesale!G$11</f>
        <v>factor</v>
      </c>
      <c r="M42" s="91"/>
    </row>
    <row r="43" spans="1:13" outlineLevel="1" x14ac:dyDescent="0.2">
      <c r="E43" s="70" t="s">
        <v>169</v>
      </c>
      <c r="F43" s="89">
        <f xml:space="preserve">  $F40 - ( $F41 * $F42 )</f>
        <v>176.95438886022305</v>
      </c>
      <c r="G43" s="70" t="s">
        <v>29</v>
      </c>
      <c r="M43" s="89"/>
    </row>
    <row r="44" spans="1:13" outlineLevel="1" x14ac:dyDescent="0.2"/>
    <row r="45" spans="1:13" outlineLevel="1" x14ac:dyDescent="0.2"/>
    <row r="46" spans="1:13" outlineLevel="1" x14ac:dyDescent="0.2">
      <c r="B46" s="69" t="s">
        <v>170</v>
      </c>
    </row>
    <row r="47" spans="1:13" outlineLevel="1" x14ac:dyDescent="0.2">
      <c r="A47" s="71"/>
      <c r="B47" s="71"/>
      <c r="C47" s="71"/>
      <c r="D47" s="71"/>
      <c r="E47" s="88" t="str">
        <f xml:space="preserve">  InpS!E$80</f>
        <v>Net zero PR24</v>
      </c>
      <c r="F47" s="88">
        <f xml:space="preserve">  InpS!F$80</f>
        <v>149.53400262134264</v>
      </c>
      <c r="G47" s="88" t="str">
        <f xml:space="preserve">  InpS!G$80</f>
        <v>£m</v>
      </c>
      <c r="M47" s="89"/>
    </row>
    <row r="48" spans="1:13" outlineLevel="1" x14ac:dyDescent="0.2">
      <c r="A48" s="71"/>
      <c r="B48" s="71"/>
      <c r="C48" s="71"/>
      <c r="D48" s="71"/>
      <c r="E48" s="88" t="str">
        <f xml:space="preserve">  InpS!E$79</f>
        <v>Pre-inflation net zero PR19</v>
      </c>
      <c r="F48" s="88">
        <f xml:space="preserve">  InpS!F$79</f>
        <v>0</v>
      </c>
      <c r="G48" s="88" t="str">
        <f xml:space="preserve">  InpS!G$79</f>
        <v>£m</v>
      </c>
      <c r="M48" s="89"/>
    </row>
    <row r="49" spans="1:13" outlineLevel="1" x14ac:dyDescent="0.2">
      <c r="A49" s="71"/>
      <c r="B49" s="71"/>
      <c r="C49" s="71"/>
      <c r="D49" s="71"/>
      <c r="E49" s="90" t="str">
        <f xml:space="preserve">  Wholesale!E$11</f>
        <v>CPIH factor</v>
      </c>
      <c r="F49" s="90">
        <f xml:space="preserve">  Wholesale!F$11</f>
        <v>1.1806332960179113</v>
      </c>
      <c r="G49" s="90" t="str">
        <f xml:space="preserve">  Wholesale!G$11</f>
        <v>factor</v>
      </c>
      <c r="M49" s="91"/>
    </row>
    <row r="50" spans="1:13" outlineLevel="1" x14ac:dyDescent="0.2">
      <c r="E50" s="70" t="s">
        <v>170</v>
      </c>
      <c r="F50" s="89">
        <f xml:space="preserve">  $F47 - ( $F48 * $F49 )</f>
        <v>149.53400262134264</v>
      </c>
      <c r="G50" s="70" t="s">
        <v>29</v>
      </c>
      <c r="M50" s="89"/>
    </row>
    <row r="51" spans="1:13" outlineLevel="1" x14ac:dyDescent="0.2"/>
    <row r="52" spans="1:13" outlineLevel="1" x14ac:dyDescent="0.2"/>
    <row r="53" spans="1:13" outlineLevel="1" x14ac:dyDescent="0.2">
      <c r="B53" s="69" t="s">
        <v>171</v>
      </c>
    </row>
    <row r="54" spans="1:13" outlineLevel="1" x14ac:dyDescent="0.2">
      <c r="A54" s="71"/>
      <c r="B54" s="71"/>
      <c r="C54" s="71"/>
      <c r="D54" s="71"/>
      <c r="E54" s="88" t="str">
        <f xml:space="preserve">  InpS!E$82</f>
        <v>WRMP PR24</v>
      </c>
      <c r="F54" s="88">
        <f xml:space="preserve">  InpS!F$82</f>
        <v>950.69587210034842</v>
      </c>
      <c r="G54" s="88" t="str">
        <f xml:space="preserve">  InpS!G$82</f>
        <v>£m</v>
      </c>
      <c r="M54" s="89"/>
    </row>
    <row r="55" spans="1:13" outlineLevel="1" x14ac:dyDescent="0.2">
      <c r="A55" s="71"/>
      <c r="B55" s="71"/>
      <c r="C55" s="71"/>
      <c r="D55" s="71"/>
      <c r="E55" s="88" t="str">
        <f xml:space="preserve">  InpS!E$81</f>
        <v>Pre-inflation WRMP PR19</v>
      </c>
      <c r="F55" s="88">
        <f xml:space="preserve">  InpS!F$81</f>
        <v>695.42272185895331</v>
      </c>
      <c r="G55" s="88" t="str">
        <f xml:space="preserve">  InpS!G$81</f>
        <v>£m</v>
      </c>
      <c r="M55" s="89"/>
    </row>
    <row r="56" spans="1:13" outlineLevel="1" x14ac:dyDescent="0.2">
      <c r="A56" s="71"/>
      <c r="B56" s="71"/>
      <c r="C56" s="71"/>
      <c r="D56" s="71"/>
      <c r="E56" s="90" t="str">
        <f xml:space="preserve">  Wholesale!E$11</f>
        <v>CPIH factor</v>
      </c>
      <c r="F56" s="90">
        <f xml:space="preserve">  Wholesale!F$11</f>
        <v>1.1806332960179113</v>
      </c>
      <c r="G56" s="90" t="str">
        <f xml:space="preserve">  Wholesale!G$11</f>
        <v>factor</v>
      </c>
      <c r="M56" s="91"/>
    </row>
    <row r="57" spans="1:13" outlineLevel="1" x14ac:dyDescent="0.2">
      <c r="E57" s="70" t="s">
        <v>171</v>
      </c>
      <c r="F57" s="89">
        <f xml:space="preserve">  $F54 - ( $F55 * $F56 )</f>
        <v>129.65665186626518</v>
      </c>
      <c r="G57" s="70" t="s">
        <v>29</v>
      </c>
      <c r="M57" s="89"/>
    </row>
    <row r="58" spans="1:13" outlineLevel="1" x14ac:dyDescent="0.2"/>
    <row r="59" spans="1:13" outlineLevel="1" x14ac:dyDescent="0.2"/>
    <row r="60" spans="1:13" outlineLevel="1" x14ac:dyDescent="0.2">
      <c r="B60" s="69" t="s">
        <v>172</v>
      </c>
    </row>
    <row r="61" spans="1:13" outlineLevel="1" x14ac:dyDescent="0.2">
      <c r="A61" s="71"/>
      <c r="B61" s="71"/>
      <c r="C61" s="71"/>
      <c r="D61" s="71"/>
      <c r="E61" s="88" t="str">
        <f xml:space="preserve">  InpS!E$84</f>
        <v>Environmental PR24</v>
      </c>
      <c r="F61" s="88">
        <f xml:space="preserve">  InpS!F$84</f>
        <v>48.761246477182816</v>
      </c>
      <c r="G61" s="88" t="str">
        <f xml:space="preserve">  InpS!G$84</f>
        <v>£m</v>
      </c>
      <c r="M61" s="89"/>
    </row>
    <row r="62" spans="1:13" outlineLevel="1" x14ac:dyDescent="0.2">
      <c r="A62" s="71"/>
      <c r="B62" s="71"/>
      <c r="C62" s="71"/>
      <c r="D62" s="71"/>
      <c r="E62" s="88" t="str">
        <f xml:space="preserve">  InpS!E$83</f>
        <v>Pre-inflation environmental PR19</v>
      </c>
      <c r="F62" s="88">
        <f xml:space="preserve">  InpS!F$83</f>
        <v>131.24972573946249</v>
      </c>
      <c r="G62" s="88" t="str">
        <f xml:space="preserve">  InpS!G$83</f>
        <v>£m</v>
      </c>
      <c r="M62" s="89"/>
    </row>
    <row r="63" spans="1:13" outlineLevel="1" x14ac:dyDescent="0.2">
      <c r="A63" s="71"/>
      <c r="B63" s="71"/>
      <c r="C63" s="71"/>
      <c r="D63" s="71"/>
      <c r="E63" s="90" t="str">
        <f xml:space="preserve">  Wholesale!E$11</f>
        <v>CPIH factor</v>
      </c>
      <c r="F63" s="90">
        <f xml:space="preserve">  Wholesale!F$11</f>
        <v>1.1806332960179113</v>
      </c>
      <c r="G63" s="90" t="str">
        <f xml:space="preserve">  Wholesale!G$11</f>
        <v>factor</v>
      </c>
      <c r="M63" s="91"/>
    </row>
    <row r="64" spans="1:13" outlineLevel="1" x14ac:dyDescent="0.2">
      <c r="E64" s="70" t="s">
        <v>172</v>
      </c>
      <c r="F64" s="89">
        <f xml:space="preserve">  $F61 - ( $F62 * $F63 )</f>
        <v>-106.19654982404566</v>
      </c>
      <c r="G64" s="70" t="s">
        <v>29</v>
      </c>
      <c r="M64" s="89"/>
    </row>
    <row r="65" spans="1:13" outlineLevel="1" x14ac:dyDescent="0.2"/>
    <row r="66" spans="1:13" outlineLevel="1" x14ac:dyDescent="0.2"/>
    <row r="67" spans="1:13" outlineLevel="1" x14ac:dyDescent="0.2">
      <c r="B67" s="69" t="s">
        <v>173</v>
      </c>
    </row>
    <row r="68" spans="1:13" outlineLevel="1" x14ac:dyDescent="0.2">
      <c r="A68" s="71"/>
      <c r="B68" s="71"/>
      <c r="C68" s="71"/>
      <c r="D68" s="71"/>
      <c r="E68" s="88" t="str">
        <f xml:space="preserve">  InpS!E$86</f>
        <v>Other environmental PR24</v>
      </c>
      <c r="F68" s="88">
        <f xml:space="preserve">  InpS!F$86</f>
        <v>476.68623708198032</v>
      </c>
      <c r="G68" s="88" t="str">
        <f xml:space="preserve">  InpS!G$86</f>
        <v>£m</v>
      </c>
      <c r="M68" s="89"/>
    </row>
    <row r="69" spans="1:13" outlineLevel="1" x14ac:dyDescent="0.2">
      <c r="A69" s="71"/>
      <c r="B69" s="71"/>
      <c r="C69" s="71"/>
      <c r="D69" s="71"/>
      <c r="E69" s="88" t="str">
        <f xml:space="preserve">  InpS!E$85</f>
        <v>Pre-inflation other environmental PR19</v>
      </c>
      <c r="F69" s="88">
        <f xml:space="preserve">  InpS!F$85</f>
        <v>18.762959090883722</v>
      </c>
      <c r="G69" s="88" t="str">
        <f xml:space="preserve">  InpS!G$85</f>
        <v>£m</v>
      </c>
      <c r="M69" s="89"/>
    </row>
    <row r="70" spans="1:13" outlineLevel="1" x14ac:dyDescent="0.2">
      <c r="A70" s="71"/>
      <c r="B70" s="71"/>
      <c r="C70" s="71"/>
      <c r="D70" s="71"/>
      <c r="E70" s="90" t="str">
        <f xml:space="preserve">  Wholesale!E$11</f>
        <v>CPIH factor</v>
      </c>
      <c r="F70" s="90">
        <f xml:space="preserve">  Wholesale!F$11</f>
        <v>1.1806332960179113</v>
      </c>
      <c r="G70" s="90" t="str">
        <f xml:space="preserve">  Wholesale!G$11</f>
        <v>factor</v>
      </c>
      <c r="M70" s="91"/>
    </row>
    <row r="71" spans="1:13" outlineLevel="1" x14ac:dyDescent="0.2">
      <c r="E71" s="70" t="s">
        <v>173</v>
      </c>
      <c r="F71" s="89">
        <f xml:space="preserve">  $F68 - ( $F69 * $F70 )</f>
        <v>454.53406284746103</v>
      </c>
      <c r="G71" s="70" t="s">
        <v>29</v>
      </c>
      <c r="M71" s="89"/>
    </row>
    <row r="72" spans="1:13" outlineLevel="1" x14ac:dyDescent="0.2"/>
    <row r="73" spans="1:13" outlineLevel="1" x14ac:dyDescent="0.2"/>
    <row r="74" spans="1:13" outlineLevel="1" x14ac:dyDescent="0.2">
      <c r="B74" s="69" t="s">
        <v>174</v>
      </c>
    </row>
    <row r="75" spans="1:13" outlineLevel="1" x14ac:dyDescent="0.2">
      <c r="A75" s="71"/>
      <c r="B75" s="71"/>
      <c r="C75" s="71"/>
      <c r="D75" s="71"/>
      <c r="E75" s="88" t="str">
        <f xml:space="preserve">  InpS!E$88</f>
        <v>Other enhancement costs PR24</v>
      </c>
      <c r="F75" s="88">
        <f xml:space="preserve">  InpS!F$88</f>
        <v>915.02727688446305</v>
      </c>
      <c r="G75" s="88" t="str">
        <f xml:space="preserve">  InpS!G$88</f>
        <v>£m</v>
      </c>
      <c r="M75" s="89"/>
    </row>
    <row r="76" spans="1:13" outlineLevel="1" x14ac:dyDescent="0.2">
      <c r="A76" s="71"/>
      <c r="B76" s="71"/>
      <c r="C76" s="71"/>
      <c r="D76" s="71"/>
      <c r="E76" s="88" t="str">
        <f xml:space="preserve">  InpS!E$87</f>
        <v>Pre-inflation other enhancement costs PR19</v>
      </c>
      <c r="F76" s="88">
        <f xml:space="preserve">  InpS!F$87</f>
        <v>54.885303037832216</v>
      </c>
      <c r="G76" s="88" t="str">
        <f xml:space="preserve">  InpS!G$87</f>
        <v>£m</v>
      </c>
      <c r="M76" s="89"/>
    </row>
    <row r="77" spans="1:13" outlineLevel="1" x14ac:dyDescent="0.2">
      <c r="A77" s="71"/>
      <c r="B77" s="71"/>
      <c r="C77" s="71"/>
      <c r="D77" s="71"/>
      <c r="E77" s="90" t="str">
        <f xml:space="preserve">  Wholesale!E$11</f>
        <v>CPIH factor</v>
      </c>
      <c r="F77" s="90">
        <f xml:space="preserve">  Wholesale!F$11</f>
        <v>1.1806332960179113</v>
      </c>
      <c r="G77" s="90" t="str">
        <f xml:space="preserve">  Wholesale!G$11</f>
        <v>factor</v>
      </c>
      <c r="M77" s="91"/>
    </row>
    <row r="78" spans="1:13" outlineLevel="1" x14ac:dyDescent="0.2">
      <c r="E78" s="70" t="s">
        <v>174</v>
      </c>
      <c r="F78" s="89">
        <f xml:space="preserve">  $F75 - ( $F76 * $F77 )</f>
        <v>850.22786065596529</v>
      </c>
      <c r="G78" s="70" t="s">
        <v>29</v>
      </c>
      <c r="M78" s="89"/>
    </row>
    <row r="79" spans="1:13" outlineLevel="1" x14ac:dyDescent="0.2"/>
    <row r="80" spans="1:13" outlineLevel="1" x14ac:dyDescent="0.2"/>
    <row r="81" spans="1:13" outlineLevel="1" x14ac:dyDescent="0.2">
      <c r="B81" s="69" t="s">
        <v>175</v>
      </c>
    </row>
    <row r="82" spans="1:13" outlineLevel="1" x14ac:dyDescent="0.2">
      <c r="E82" s="89" t="str">
        <f t="shared" ref="E82:G82" si="0" xml:space="preserve">  E$22</f>
        <v>Base expenditure delta</v>
      </c>
      <c r="F82" s="89">
        <f xml:space="preserve">  F$22</f>
        <v>626.60733046908854</v>
      </c>
      <c r="G82" s="89" t="str">
        <f t="shared" si="0"/>
        <v>£m</v>
      </c>
      <c r="M82" s="89"/>
    </row>
    <row r="83" spans="1:13" outlineLevel="1" x14ac:dyDescent="0.2">
      <c r="E83" s="89" t="str">
        <f t="shared" ref="E83:G83" si="1" xml:space="preserve">  E$29</f>
        <v>Storm overflows delta</v>
      </c>
      <c r="F83" s="89">
        <f t="shared" si="1"/>
        <v>270.7817873930253</v>
      </c>
      <c r="G83" s="89" t="str">
        <f t="shared" si="1"/>
        <v>£m</v>
      </c>
      <c r="M83" s="89"/>
    </row>
    <row r="84" spans="1:13" outlineLevel="1" x14ac:dyDescent="0.2">
      <c r="E84" s="89" t="str">
        <f t="shared" ref="E84:G84" si="2" xml:space="preserve">  E$36</f>
        <v>Nutrient removal delta</v>
      </c>
      <c r="F84" s="89">
        <f t="shared" si="2"/>
        <v>235.99031293879915</v>
      </c>
      <c r="G84" s="89" t="str">
        <f t="shared" si="2"/>
        <v>£m</v>
      </c>
      <c r="M84" s="89"/>
    </row>
    <row r="85" spans="1:13" outlineLevel="1" x14ac:dyDescent="0.2">
      <c r="E85" s="89" t="str">
        <f t="shared" ref="E85:G85" si="3" xml:space="preserve">  E$43</f>
        <v>Resilience delta</v>
      </c>
      <c r="F85" s="89">
        <f t="shared" si="3"/>
        <v>176.95438886022305</v>
      </c>
      <c r="G85" s="89" t="str">
        <f t="shared" si="3"/>
        <v>£m</v>
      </c>
      <c r="M85" s="89"/>
    </row>
    <row r="86" spans="1:13" outlineLevel="1" x14ac:dyDescent="0.2">
      <c r="E86" s="89" t="str">
        <f t="shared" ref="E86:G86" si="4" xml:space="preserve">  E$50</f>
        <v>Net zero delta</v>
      </c>
      <c r="F86" s="89">
        <f t="shared" si="4"/>
        <v>149.53400262134264</v>
      </c>
      <c r="G86" s="89" t="str">
        <f t="shared" si="4"/>
        <v>£m</v>
      </c>
      <c r="M86" s="89"/>
    </row>
    <row r="87" spans="1:13" outlineLevel="1" x14ac:dyDescent="0.2">
      <c r="E87" s="89" t="str">
        <f t="shared" ref="E87:G87" si="5" xml:space="preserve">  E$57</f>
        <v>WRMP delta</v>
      </c>
      <c r="F87" s="89">
        <f t="shared" si="5"/>
        <v>129.65665186626518</v>
      </c>
      <c r="G87" s="89" t="str">
        <f t="shared" si="5"/>
        <v>£m</v>
      </c>
      <c r="M87" s="89"/>
    </row>
    <row r="88" spans="1:13" outlineLevel="1" x14ac:dyDescent="0.2">
      <c r="E88" s="89" t="str">
        <f t="shared" ref="E88:G88" si="6" xml:space="preserve">  E$64</f>
        <v>Environmental delta</v>
      </c>
      <c r="F88" s="89">
        <f t="shared" si="6"/>
        <v>-106.19654982404566</v>
      </c>
      <c r="G88" s="89" t="str">
        <f t="shared" si="6"/>
        <v>£m</v>
      </c>
      <c r="M88" s="89"/>
    </row>
    <row r="89" spans="1:13" outlineLevel="1" x14ac:dyDescent="0.2">
      <c r="E89" s="89" t="str">
        <f t="shared" ref="E89:G89" si="7" xml:space="preserve">  E$71</f>
        <v>Other environmental delta</v>
      </c>
      <c r="F89" s="89">
        <f t="shared" si="7"/>
        <v>454.53406284746103</v>
      </c>
      <c r="G89" s="89" t="str">
        <f t="shared" si="7"/>
        <v>£m</v>
      </c>
      <c r="M89" s="89"/>
    </row>
    <row r="90" spans="1:13" outlineLevel="1" x14ac:dyDescent="0.2">
      <c r="E90" s="89" t="str">
        <f t="shared" ref="E90:G90" si="8" xml:space="preserve">  E$78</f>
        <v>Other enhancement costs delta</v>
      </c>
      <c r="F90" s="89">
        <f t="shared" si="8"/>
        <v>850.22786065596529</v>
      </c>
      <c r="G90" s="89" t="str">
        <f t="shared" si="8"/>
        <v>£m</v>
      </c>
      <c r="M90" s="89"/>
    </row>
    <row r="91" spans="1:13" outlineLevel="1" x14ac:dyDescent="0.2">
      <c r="E91" s="70" t="s">
        <v>175</v>
      </c>
      <c r="F91" s="89">
        <f xml:space="preserve">  $F82 + $F83 + $F84 + $F85 + $F86 + $F87 + $F88 + $F89 + $F90</f>
        <v>2788.0898478281247</v>
      </c>
      <c r="G91" s="70" t="s">
        <v>29</v>
      </c>
      <c r="M91" s="89"/>
    </row>
    <row r="92" spans="1:13" outlineLevel="1" x14ac:dyDescent="0.2"/>
    <row r="95" spans="1:13" x14ac:dyDescent="0.2">
      <c r="A95" s="69" t="s">
        <v>176</v>
      </c>
    </row>
    <row r="96" spans="1:13" outlineLevel="1" x14ac:dyDescent="0.2">
      <c r="B96" s="69" t="s">
        <v>177</v>
      </c>
    </row>
    <row r="97" spans="2:13" outlineLevel="1" x14ac:dyDescent="0.2">
      <c r="E97" s="89" t="str">
        <f t="shared" ref="E97:G97" si="9" xml:space="preserve">  E$91</f>
        <v>Total expenditure category delta</v>
      </c>
      <c r="F97" s="89">
        <f xml:space="preserve">  F$91</f>
        <v>2788.0898478281247</v>
      </c>
      <c r="G97" s="89" t="str">
        <f t="shared" si="9"/>
        <v>£m</v>
      </c>
      <c r="M97" s="89"/>
    </row>
    <row r="98" spans="2:13" outlineLevel="1" x14ac:dyDescent="0.2">
      <c r="E98" s="89" t="str">
        <f t="shared" ref="E98:G98" si="10" xml:space="preserve">  E$22</f>
        <v>Base expenditure delta</v>
      </c>
      <c r="F98" s="89">
        <f t="shared" si="10"/>
        <v>626.60733046908854</v>
      </c>
      <c r="G98" s="89" t="str">
        <f t="shared" si="10"/>
        <v>£m</v>
      </c>
      <c r="M98" s="89"/>
    </row>
    <row r="99" spans="2:13" outlineLevel="1" x14ac:dyDescent="0.2">
      <c r="E99" s="70" t="s">
        <v>177</v>
      </c>
      <c r="F99" s="91">
        <f xml:space="preserve">  IF( $F97 = 0, 0, $F98 / $F97 )</f>
        <v>0.22474431050247723</v>
      </c>
      <c r="G99" s="70" t="s">
        <v>115</v>
      </c>
      <c r="M99" s="91"/>
    </row>
    <row r="100" spans="2:13" outlineLevel="1" x14ac:dyDescent="0.2"/>
    <row r="101" spans="2:13" outlineLevel="1" x14ac:dyDescent="0.2"/>
    <row r="102" spans="2:13" outlineLevel="1" x14ac:dyDescent="0.2">
      <c r="B102" s="69" t="s">
        <v>178</v>
      </c>
    </row>
    <row r="103" spans="2:13" outlineLevel="1" x14ac:dyDescent="0.2">
      <c r="E103" s="89" t="str">
        <f t="shared" ref="E103:G103" si="11" xml:space="preserve">  E$91</f>
        <v>Total expenditure category delta</v>
      </c>
      <c r="F103" s="89">
        <f t="shared" si="11"/>
        <v>2788.0898478281247</v>
      </c>
      <c r="G103" s="89" t="str">
        <f t="shared" si="11"/>
        <v>£m</v>
      </c>
      <c r="M103" s="89"/>
    </row>
    <row r="104" spans="2:13" outlineLevel="1" x14ac:dyDescent="0.2">
      <c r="E104" s="89" t="str">
        <f t="shared" ref="E104:G104" si="12" xml:space="preserve">  E$29</f>
        <v>Storm overflows delta</v>
      </c>
      <c r="F104" s="89">
        <f t="shared" si="12"/>
        <v>270.7817873930253</v>
      </c>
      <c r="G104" s="89" t="str">
        <f t="shared" si="12"/>
        <v>£m</v>
      </c>
      <c r="M104" s="89"/>
    </row>
    <row r="105" spans="2:13" outlineLevel="1" x14ac:dyDescent="0.2">
      <c r="E105" s="70" t="s">
        <v>178</v>
      </c>
      <c r="F105" s="91">
        <f xml:space="preserve">  IF( $F103 = 0, 0, $F104 / $F103 )</f>
        <v>9.7120897163324837E-2</v>
      </c>
      <c r="G105" s="70" t="s">
        <v>115</v>
      </c>
      <c r="M105" s="91"/>
    </row>
    <row r="106" spans="2:13" outlineLevel="1" x14ac:dyDescent="0.2"/>
    <row r="107" spans="2:13" outlineLevel="1" x14ac:dyDescent="0.2"/>
    <row r="108" spans="2:13" outlineLevel="1" x14ac:dyDescent="0.2">
      <c r="B108" s="69" t="s">
        <v>179</v>
      </c>
    </row>
    <row r="109" spans="2:13" outlineLevel="1" x14ac:dyDescent="0.2">
      <c r="E109" s="89" t="str">
        <f t="shared" ref="E109:G109" si="13" xml:space="preserve">  E$91</f>
        <v>Total expenditure category delta</v>
      </c>
      <c r="F109" s="89">
        <f t="shared" si="13"/>
        <v>2788.0898478281247</v>
      </c>
      <c r="G109" s="89" t="str">
        <f t="shared" si="13"/>
        <v>£m</v>
      </c>
      <c r="M109" s="89"/>
    </row>
    <row r="110" spans="2:13" outlineLevel="1" x14ac:dyDescent="0.2">
      <c r="E110" s="89" t="str">
        <f t="shared" ref="E110:G110" si="14" xml:space="preserve">  E$36</f>
        <v>Nutrient removal delta</v>
      </c>
      <c r="F110" s="89">
        <f t="shared" si="14"/>
        <v>235.99031293879915</v>
      </c>
      <c r="G110" s="89" t="str">
        <f t="shared" si="14"/>
        <v>£m</v>
      </c>
      <c r="M110" s="89"/>
    </row>
    <row r="111" spans="2:13" outlineLevel="1" x14ac:dyDescent="0.2">
      <c r="E111" s="70" t="s">
        <v>179</v>
      </c>
      <c r="F111" s="91">
        <f xml:space="preserve">  IF( $F109 = 0, 0, $F110 / $F109 )</f>
        <v>8.4642291252784288E-2</v>
      </c>
      <c r="G111" s="70" t="s">
        <v>115</v>
      </c>
      <c r="M111" s="91"/>
    </row>
    <row r="112" spans="2:13" outlineLevel="1" x14ac:dyDescent="0.2"/>
    <row r="113" spans="2:13" outlineLevel="1" x14ac:dyDescent="0.2"/>
    <row r="114" spans="2:13" outlineLevel="1" x14ac:dyDescent="0.2">
      <c r="B114" s="69" t="s">
        <v>180</v>
      </c>
    </row>
    <row r="115" spans="2:13" outlineLevel="1" x14ac:dyDescent="0.2">
      <c r="E115" s="89" t="str">
        <f t="shared" ref="E115:G115" si="15" xml:space="preserve">  E$91</f>
        <v>Total expenditure category delta</v>
      </c>
      <c r="F115" s="89">
        <f t="shared" si="15"/>
        <v>2788.0898478281247</v>
      </c>
      <c r="G115" s="89" t="str">
        <f t="shared" si="15"/>
        <v>£m</v>
      </c>
      <c r="M115" s="89"/>
    </row>
    <row r="116" spans="2:13" outlineLevel="1" x14ac:dyDescent="0.2">
      <c r="E116" s="89" t="str">
        <f t="shared" ref="E116:G116" si="16" xml:space="preserve">  E$43</f>
        <v>Resilience delta</v>
      </c>
      <c r="F116" s="89">
        <f t="shared" si="16"/>
        <v>176.95438886022305</v>
      </c>
      <c r="G116" s="89" t="str">
        <f t="shared" si="16"/>
        <v>£m</v>
      </c>
      <c r="M116" s="89"/>
    </row>
    <row r="117" spans="2:13" outlineLevel="1" x14ac:dyDescent="0.2">
      <c r="E117" s="70" t="s">
        <v>180</v>
      </c>
      <c r="F117" s="91">
        <f xml:space="preserve">  IF( $F115 = 0, 0, $F116 / $F115 )</f>
        <v>6.3467964993333181E-2</v>
      </c>
      <c r="G117" s="70" t="s">
        <v>115</v>
      </c>
      <c r="M117" s="91"/>
    </row>
    <row r="118" spans="2:13" outlineLevel="1" x14ac:dyDescent="0.2"/>
    <row r="119" spans="2:13" outlineLevel="1" x14ac:dyDescent="0.2"/>
    <row r="120" spans="2:13" outlineLevel="1" x14ac:dyDescent="0.2">
      <c r="B120" s="69" t="s">
        <v>181</v>
      </c>
    </row>
    <row r="121" spans="2:13" outlineLevel="1" x14ac:dyDescent="0.2">
      <c r="E121" s="89" t="str">
        <f t="shared" ref="E121:G121" si="17" xml:space="preserve">  E$91</f>
        <v>Total expenditure category delta</v>
      </c>
      <c r="F121" s="89">
        <f t="shared" si="17"/>
        <v>2788.0898478281247</v>
      </c>
      <c r="G121" s="89" t="str">
        <f t="shared" si="17"/>
        <v>£m</v>
      </c>
      <c r="M121" s="89"/>
    </row>
    <row r="122" spans="2:13" outlineLevel="1" x14ac:dyDescent="0.2">
      <c r="E122" s="89" t="str">
        <f t="shared" ref="E122:G122" si="18" xml:space="preserve">  E$50</f>
        <v>Net zero delta</v>
      </c>
      <c r="F122" s="89">
        <f t="shared" si="18"/>
        <v>149.53400262134264</v>
      </c>
      <c r="G122" s="89" t="str">
        <f t="shared" si="18"/>
        <v>£m</v>
      </c>
      <c r="M122" s="89"/>
    </row>
    <row r="123" spans="2:13" outlineLevel="1" x14ac:dyDescent="0.2">
      <c r="E123" s="70" t="s">
        <v>181</v>
      </c>
      <c r="F123" s="91">
        <f xml:space="preserve">  IF( $F121 = 0, 0, $F122 / $F121 )</f>
        <v>5.3633136226878458E-2</v>
      </c>
      <c r="G123" s="70" t="s">
        <v>115</v>
      </c>
      <c r="M123" s="91"/>
    </row>
    <row r="124" spans="2:13" outlineLevel="1" x14ac:dyDescent="0.2"/>
    <row r="125" spans="2:13" outlineLevel="1" x14ac:dyDescent="0.2"/>
    <row r="126" spans="2:13" outlineLevel="1" x14ac:dyDescent="0.2">
      <c r="B126" s="69" t="s">
        <v>182</v>
      </c>
    </row>
    <row r="127" spans="2:13" outlineLevel="1" x14ac:dyDescent="0.2">
      <c r="E127" s="89" t="str">
        <f t="shared" ref="E127:G127" si="19" xml:space="preserve">  E$91</f>
        <v>Total expenditure category delta</v>
      </c>
      <c r="F127" s="89">
        <f t="shared" si="19"/>
        <v>2788.0898478281247</v>
      </c>
      <c r="G127" s="89" t="str">
        <f t="shared" si="19"/>
        <v>£m</v>
      </c>
      <c r="M127" s="89"/>
    </row>
    <row r="128" spans="2:13" outlineLevel="1" x14ac:dyDescent="0.2">
      <c r="E128" s="89" t="str">
        <f t="shared" ref="E128:G128" si="20" xml:space="preserve">  E$57</f>
        <v>WRMP delta</v>
      </c>
      <c r="F128" s="89">
        <f t="shared" si="20"/>
        <v>129.65665186626518</v>
      </c>
      <c r="G128" s="89" t="str">
        <f t="shared" si="20"/>
        <v>£m</v>
      </c>
      <c r="M128" s="89"/>
    </row>
    <row r="129" spans="2:13" outlineLevel="1" x14ac:dyDescent="0.2">
      <c r="E129" s="70" t="s">
        <v>182</v>
      </c>
      <c r="F129" s="91">
        <f xml:space="preserve">  IF( $F127 = 0, 0, $F128 / $F127 )</f>
        <v>4.6503756673145068E-2</v>
      </c>
      <c r="G129" s="70" t="s">
        <v>115</v>
      </c>
      <c r="M129" s="91"/>
    </row>
    <row r="130" spans="2:13" outlineLevel="1" x14ac:dyDescent="0.2"/>
    <row r="131" spans="2:13" outlineLevel="1" x14ac:dyDescent="0.2"/>
    <row r="132" spans="2:13" outlineLevel="1" x14ac:dyDescent="0.2">
      <c r="B132" s="69" t="s">
        <v>183</v>
      </c>
    </row>
    <row r="133" spans="2:13" outlineLevel="1" x14ac:dyDescent="0.2">
      <c r="E133" s="89" t="str">
        <f t="shared" ref="E133:G133" si="21" xml:space="preserve">  E$91</f>
        <v>Total expenditure category delta</v>
      </c>
      <c r="F133" s="89">
        <f t="shared" si="21"/>
        <v>2788.0898478281247</v>
      </c>
      <c r="G133" s="89" t="str">
        <f t="shared" si="21"/>
        <v>£m</v>
      </c>
      <c r="M133" s="89"/>
    </row>
    <row r="134" spans="2:13" outlineLevel="1" x14ac:dyDescent="0.2">
      <c r="E134" s="89" t="str">
        <f t="shared" ref="E134:G134" si="22" xml:space="preserve">  E$64</f>
        <v>Environmental delta</v>
      </c>
      <c r="F134" s="89">
        <f t="shared" si="22"/>
        <v>-106.19654982404566</v>
      </c>
      <c r="G134" s="89" t="str">
        <f t="shared" si="22"/>
        <v>£m</v>
      </c>
      <c r="M134" s="89"/>
    </row>
    <row r="135" spans="2:13" outlineLevel="1" x14ac:dyDescent="0.2">
      <c r="E135" s="70" t="s">
        <v>183</v>
      </c>
      <c r="F135" s="91">
        <f xml:space="preserve">  IF( $F133 = 0, 0, $F134 / $F133 )</f>
        <v>-3.8089357093987121E-2</v>
      </c>
      <c r="G135" s="70" t="s">
        <v>115</v>
      </c>
      <c r="M135" s="91"/>
    </row>
    <row r="136" spans="2:13" outlineLevel="1" x14ac:dyDescent="0.2"/>
    <row r="137" spans="2:13" outlineLevel="1" x14ac:dyDescent="0.2"/>
    <row r="138" spans="2:13" outlineLevel="1" x14ac:dyDescent="0.2">
      <c r="B138" s="69" t="s">
        <v>184</v>
      </c>
    </row>
    <row r="139" spans="2:13" outlineLevel="1" x14ac:dyDescent="0.2">
      <c r="E139" s="89" t="str">
        <f t="shared" ref="E139:G139" si="23" xml:space="preserve">  E$91</f>
        <v>Total expenditure category delta</v>
      </c>
      <c r="F139" s="89">
        <f t="shared" si="23"/>
        <v>2788.0898478281247</v>
      </c>
      <c r="G139" s="89" t="str">
        <f t="shared" si="23"/>
        <v>£m</v>
      </c>
      <c r="M139" s="89"/>
    </row>
    <row r="140" spans="2:13" outlineLevel="1" x14ac:dyDescent="0.2">
      <c r="E140" s="89" t="str">
        <f t="shared" ref="E140:G140" si="24" xml:space="preserve">  E$71</f>
        <v>Other environmental delta</v>
      </c>
      <c r="F140" s="89">
        <f t="shared" si="24"/>
        <v>454.53406284746103</v>
      </c>
      <c r="G140" s="89" t="str">
        <f t="shared" si="24"/>
        <v>£m</v>
      </c>
      <c r="M140" s="89"/>
    </row>
    <row r="141" spans="2:13" outlineLevel="1" x14ac:dyDescent="0.2">
      <c r="E141" s="70" t="s">
        <v>184</v>
      </c>
      <c r="F141" s="91">
        <f xml:space="preserve">  IF( $F139 = 0, 0, $F140 / $F139 )</f>
        <v>0.16302704993583167</v>
      </c>
      <c r="G141" s="70" t="s">
        <v>115</v>
      </c>
      <c r="M141" s="91"/>
    </row>
    <row r="142" spans="2:13" outlineLevel="1" x14ac:dyDescent="0.2"/>
    <row r="143" spans="2:13" outlineLevel="1" x14ac:dyDescent="0.2"/>
    <row r="144" spans="2:13" outlineLevel="1" x14ac:dyDescent="0.2">
      <c r="B144" s="69" t="s">
        <v>185</v>
      </c>
    </row>
    <row r="145" spans="1:13" outlineLevel="1" x14ac:dyDescent="0.2">
      <c r="E145" s="89" t="str">
        <f t="shared" ref="E145:G145" si="25" xml:space="preserve">  E$91</f>
        <v>Total expenditure category delta</v>
      </c>
      <c r="F145" s="89">
        <f t="shared" si="25"/>
        <v>2788.0898478281247</v>
      </c>
      <c r="G145" s="89" t="str">
        <f t="shared" si="25"/>
        <v>£m</v>
      </c>
      <c r="M145" s="89"/>
    </row>
    <row r="146" spans="1:13" outlineLevel="1" x14ac:dyDescent="0.2">
      <c r="E146" s="89" t="str">
        <f t="shared" ref="E146:G146" si="26" xml:space="preserve">  E$78</f>
        <v>Other enhancement costs delta</v>
      </c>
      <c r="F146" s="89">
        <f t="shared" si="26"/>
        <v>850.22786065596529</v>
      </c>
      <c r="G146" s="89" t="str">
        <f t="shared" si="26"/>
        <v>£m</v>
      </c>
      <c r="M146" s="89"/>
    </row>
    <row r="147" spans="1:13" outlineLevel="1" x14ac:dyDescent="0.2">
      <c r="E147" s="70" t="s">
        <v>185</v>
      </c>
      <c r="F147" s="91">
        <f xml:space="preserve">  IF( $F145 = 0, 0, $F146 / $F145 )</f>
        <v>0.30494995034621231</v>
      </c>
      <c r="G147" s="70" t="s">
        <v>115</v>
      </c>
      <c r="M147" s="91"/>
    </row>
    <row r="148" spans="1:13" outlineLevel="1" x14ac:dyDescent="0.2"/>
    <row r="151" spans="1:13" x14ac:dyDescent="0.2">
      <c r="A151" s="69" t="s">
        <v>186</v>
      </c>
    </row>
    <row r="152" spans="1:13" outlineLevel="1" x14ac:dyDescent="0.2">
      <c r="B152" s="69" t="s">
        <v>187</v>
      </c>
    </row>
    <row r="153" spans="1:13" outlineLevel="1" x14ac:dyDescent="0.2">
      <c r="E153" s="91" t="str">
        <f t="shared" ref="E153:G153" si="27" xml:space="preserve">  E$99</f>
        <v>Base expenditure proportion</v>
      </c>
      <c r="F153" s="91">
        <f t="shared" si="27"/>
        <v>0.22474431050247723</v>
      </c>
      <c r="G153" s="91" t="str">
        <f t="shared" si="27"/>
        <v>factor</v>
      </c>
      <c r="M153" s="91"/>
    </row>
    <row r="154" spans="1:13" outlineLevel="1" x14ac:dyDescent="0.2">
      <c r="E154" s="89" t="str">
        <f t="shared" ref="E154:G154" si="28" xml:space="preserve">  E$13</f>
        <v>Costs impact</v>
      </c>
      <c r="F154" s="89">
        <f t="shared" si="28"/>
        <v>64.896169033540446</v>
      </c>
      <c r="G154" s="89" t="str">
        <f t="shared" si="28"/>
        <v>£ / customer</v>
      </c>
      <c r="M154" s="89"/>
    </row>
    <row r="155" spans="1:13" outlineLevel="1" x14ac:dyDescent="0.2">
      <c r="E155" s="70" t="s">
        <v>187</v>
      </c>
      <c r="F155" s="89">
        <f xml:space="preserve">  $F153 * $F154</f>
        <v>14.585044763695262</v>
      </c>
      <c r="G155" s="70" t="s">
        <v>50</v>
      </c>
      <c r="M155" s="89"/>
    </row>
    <row r="156" spans="1:13" outlineLevel="1" x14ac:dyDescent="0.2"/>
    <row r="157" spans="1:13" outlineLevel="1" x14ac:dyDescent="0.2"/>
    <row r="158" spans="1:13" outlineLevel="1" x14ac:dyDescent="0.2">
      <c r="B158" s="69" t="s">
        <v>188</v>
      </c>
    </row>
    <row r="159" spans="1:13" outlineLevel="1" x14ac:dyDescent="0.2">
      <c r="E159" s="91" t="str">
        <f t="shared" ref="E159:G159" si="29" xml:space="preserve">  E$105</f>
        <v>Storm overflows proportion</v>
      </c>
      <c r="F159" s="91">
        <f t="shared" si="29"/>
        <v>9.7120897163324837E-2</v>
      </c>
      <c r="G159" s="91" t="str">
        <f t="shared" si="29"/>
        <v>factor</v>
      </c>
      <c r="M159" s="91"/>
    </row>
    <row r="160" spans="1:13" outlineLevel="1" x14ac:dyDescent="0.2">
      <c r="E160" s="89" t="str">
        <f t="shared" ref="E160:G160" si="30" xml:space="preserve">  E$13</f>
        <v>Costs impact</v>
      </c>
      <c r="F160" s="89">
        <f t="shared" si="30"/>
        <v>64.896169033540446</v>
      </c>
      <c r="G160" s="89" t="str">
        <f t="shared" si="30"/>
        <v>£ / customer</v>
      </c>
      <c r="M160" s="89"/>
    </row>
    <row r="161" spans="2:13" outlineLevel="1" x14ac:dyDescent="0.2">
      <c r="E161" s="70" t="s">
        <v>188</v>
      </c>
      <c r="F161" s="89">
        <f xml:space="preserve">  $F159 * $F160</f>
        <v>6.3027741590002275</v>
      </c>
      <c r="G161" s="70" t="s">
        <v>50</v>
      </c>
      <c r="M161" s="89"/>
    </row>
    <row r="162" spans="2:13" outlineLevel="1" x14ac:dyDescent="0.2"/>
    <row r="163" spans="2:13" outlineLevel="1" x14ac:dyDescent="0.2"/>
    <row r="164" spans="2:13" outlineLevel="1" x14ac:dyDescent="0.2">
      <c r="B164" s="69" t="s">
        <v>189</v>
      </c>
    </row>
    <row r="165" spans="2:13" outlineLevel="1" x14ac:dyDescent="0.2">
      <c r="E165" s="91" t="str">
        <f t="shared" ref="E165:G165" si="31" xml:space="preserve">  E$111</f>
        <v>Nutrient removal proportion</v>
      </c>
      <c r="F165" s="91">
        <f t="shared" si="31"/>
        <v>8.4642291252784288E-2</v>
      </c>
      <c r="G165" s="91" t="str">
        <f t="shared" si="31"/>
        <v>factor</v>
      </c>
      <c r="M165" s="91"/>
    </row>
    <row r="166" spans="2:13" outlineLevel="1" x14ac:dyDescent="0.2">
      <c r="E166" s="89" t="str">
        <f t="shared" ref="E166:G166" si="32" xml:space="preserve">  E$13</f>
        <v>Costs impact</v>
      </c>
      <c r="F166" s="89">
        <f t="shared" si="32"/>
        <v>64.896169033540446</v>
      </c>
      <c r="G166" s="89" t="str">
        <f t="shared" si="32"/>
        <v>£ / customer</v>
      </c>
      <c r="M166" s="89"/>
    </row>
    <row r="167" spans="2:13" outlineLevel="1" x14ac:dyDescent="0.2">
      <c r="E167" s="70" t="s">
        <v>189</v>
      </c>
      <c r="F167" s="89">
        <f xml:space="preserve">  $F165 * $F166</f>
        <v>5.4929604405268506</v>
      </c>
      <c r="G167" s="70" t="s">
        <v>50</v>
      </c>
      <c r="M167" s="89"/>
    </row>
    <row r="168" spans="2:13" outlineLevel="1" x14ac:dyDescent="0.2"/>
    <row r="169" spans="2:13" outlineLevel="1" x14ac:dyDescent="0.2"/>
    <row r="170" spans="2:13" outlineLevel="1" x14ac:dyDescent="0.2">
      <c r="B170" s="69" t="s">
        <v>190</v>
      </c>
    </row>
    <row r="171" spans="2:13" outlineLevel="1" x14ac:dyDescent="0.2">
      <c r="E171" s="91" t="str">
        <f t="shared" ref="E171:G171" si="33" xml:space="preserve">  E$117</f>
        <v>Resilience proportion</v>
      </c>
      <c r="F171" s="91">
        <f t="shared" si="33"/>
        <v>6.3467964993333181E-2</v>
      </c>
      <c r="G171" s="91" t="str">
        <f t="shared" si="33"/>
        <v>factor</v>
      </c>
      <c r="M171" s="91"/>
    </row>
    <row r="172" spans="2:13" outlineLevel="1" x14ac:dyDescent="0.2">
      <c r="E172" s="89" t="str">
        <f t="shared" ref="E172:G172" si="34" xml:space="preserve">  E$13</f>
        <v>Costs impact</v>
      </c>
      <c r="F172" s="89">
        <f t="shared" si="34"/>
        <v>64.896169033540446</v>
      </c>
      <c r="G172" s="89" t="str">
        <f t="shared" si="34"/>
        <v>£ / customer</v>
      </c>
      <c r="M172" s="89"/>
    </row>
    <row r="173" spans="2:13" outlineLevel="1" x14ac:dyDescent="0.2">
      <c r="E173" s="70" t="s">
        <v>190</v>
      </c>
      <c r="F173" s="89">
        <f xml:space="preserve">  $F171 * $F172</f>
        <v>4.1188277844221775</v>
      </c>
      <c r="G173" s="70" t="s">
        <v>50</v>
      </c>
      <c r="M173" s="89"/>
    </row>
    <row r="174" spans="2:13" outlineLevel="1" x14ac:dyDescent="0.2"/>
    <row r="175" spans="2:13" outlineLevel="1" x14ac:dyDescent="0.2"/>
    <row r="176" spans="2:13" outlineLevel="1" x14ac:dyDescent="0.2">
      <c r="B176" s="69" t="s">
        <v>191</v>
      </c>
    </row>
    <row r="177" spans="2:13" outlineLevel="1" x14ac:dyDescent="0.2">
      <c r="E177" s="91" t="str">
        <f t="shared" ref="E177:G177" si="35" xml:space="preserve">  E$123</f>
        <v>Net zero proportion</v>
      </c>
      <c r="F177" s="91">
        <f t="shared" si="35"/>
        <v>5.3633136226878458E-2</v>
      </c>
      <c r="G177" s="91" t="str">
        <f t="shared" si="35"/>
        <v>factor</v>
      </c>
      <c r="M177" s="91"/>
    </row>
    <row r="178" spans="2:13" outlineLevel="1" x14ac:dyDescent="0.2">
      <c r="E178" s="89" t="str">
        <f t="shared" ref="E178:G178" si="36" xml:space="preserve">  E$13</f>
        <v>Costs impact</v>
      </c>
      <c r="F178" s="89">
        <f t="shared" si="36"/>
        <v>64.896169033540446</v>
      </c>
      <c r="G178" s="89" t="str">
        <f t="shared" si="36"/>
        <v>£ / customer</v>
      </c>
      <c r="M178" s="89"/>
    </row>
    <row r="179" spans="2:13" outlineLevel="1" x14ac:dyDescent="0.2">
      <c r="E179" s="70" t="s">
        <v>191</v>
      </c>
      <c r="F179" s="89">
        <f xml:space="preserve">  $F177 * $F178</f>
        <v>3.4805850743784061</v>
      </c>
      <c r="G179" s="70" t="s">
        <v>50</v>
      </c>
      <c r="M179" s="89"/>
    </row>
    <row r="180" spans="2:13" outlineLevel="1" x14ac:dyDescent="0.2"/>
    <row r="181" spans="2:13" outlineLevel="1" x14ac:dyDescent="0.2"/>
    <row r="182" spans="2:13" outlineLevel="1" x14ac:dyDescent="0.2">
      <c r="B182" s="69" t="s">
        <v>192</v>
      </c>
    </row>
    <row r="183" spans="2:13" outlineLevel="1" x14ac:dyDescent="0.2">
      <c r="E183" s="91" t="str">
        <f t="shared" ref="E183:G183" si="37" xml:space="preserve">  E$129</f>
        <v>WRMP proportion</v>
      </c>
      <c r="F183" s="91">
        <f t="shared" si="37"/>
        <v>4.6503756673145068E-2</v>
      </c>
      <c r="G183" s="91" t="str">
        <f t="shared" si="37"/>
        <v>factor</v>
      </c>
      <c r="M183" s="91"/>
    </row>
    <row r="184" spans="2:13" outlineLevel="1" x14ac:dyDescent="0.2">
      <c r="E184" s="89" t="str">
        <f t="shared" ref="E184:G184" si="38" xml:space="preserve">  E$13</f>
        <v>Costs impact</v>
      </c>
      <c r="F184" s="89">
        <f t="shared" si="38"/>
        <v>64.896169033540446</v>
      </c>
      <c r="G184" s="89" t="str">
        <f t="shared" si="38"/>
        <v>£ / customer</v>
      </c>
      <c r="M184" s="89"/>
    </row>
    <row r="185" spans="2:13" outlineLevel="1" x14ac:dyDescent="0.2">
      <c r="E185" s="70" t="s">
        <v>192</v>
      </c>
      <c r="F185" s="89">
        <f xml:space="preserve">  $F183 * $F184</f>
        <v>3.0179156537550567</v>
      </c>
      <c r="G185" s="70" t="s">
        <v>50</v>
      </c>
      <c r="M185" s="89"/>
    </row>
    <row r="186" spans="2:13" outlineLevel="1" x14ac:dyDescent="0.2"/>
    <row r="187" spans="2:13" outlineLevel="1" x14ac:dyDescent="0.2"/>
    <row r="188" spans="2:13" outlineLevel="1" x14ac:dyDescent="0.2">
      <c r="B188" s="69" t="s">
        <v>193</v>
      </c>
    </row>
    <row r="189" spans="2:13" outlineLevel="1" x14ac:dyDescent="0.2">
      <c r="E189" s="91" t="str">
        <f t="shared" ref="E189:G189" si="39" xml:space="preserve">  E$135</f>
        <v>Environmental proportion</v>
      </c>
      <c r="F189" s="91">
        <f t="shared" si="39"/>
        <v>-3.8089357093987121E-2</v>
      </c>
      <c r="G189" s="91" t="str">
        <f t="shared" si="39"/>
        <v>factor</v>
      </c>
      <c r="M189" s="91"/>
    </row>
    <row r="190" spans="2:13" outlineLevel="1" x14ac:dyDescent="0.2">
      <c r="E190" s="89" t="str">
        <f t="shared" ref="E190:G190" si="40" xml:space="preserve">  E$13</f>
        <v>Costs impact</v>
      </c>
      <c r="F190" s="89">
        <f t="shared" si="40"/>
        <v>64.896169033540446</v>
      </c>
      <c r="G190" s="89" t="str">
        <f t="shared" si="40"/>
        <v>£ / customer</v>
      </c>
      <c r="M190" s="89"/>
    </row>
    <row r="191" spans="2:13" outlineLevel="1" x14ac:dyDescent="0.2">
      <c r="E191" s="70" t="s">
        <v>193</v>
      </c>
      <c r="F191" s="89">
        <f xml:space="preserve">  $F189 * $F190</f>
        <v>-2.4718533563502709</v>
      </c>
      <c r="G191" s="70" t="s">
        <v>50</v>
      </c>
      <c r="M191" s="89"/>
    </row>
    <row r="192" spans="2:13" outlineLevel="1" x14ac:dyDescent="0.2"/>
    <row r="193" spans="2:13" outlineLevel="1" x14ac:dyDescent="0.2"/>
    <row r="194" spans="2:13" outlineLevel="1" x14ac:dyDescent="0.2">
      <c r="B194" s="69" t="s">
        <v>194</v>
      </c>
    </row>
    <row r="195" spans="2:13" outlineLevel="1" x14ac:dyDescent="0.2">
      <c r="E195" s="91" t="str">
        <f t="shared" ref="E195:G195" si="41" xml:space="preserve">  E$141</f>
        <v>Other environmental proportion</v>
      </c>
      <c r="F195" s="91">
        <f t="shared" si="41"/>
        <v>0.16302704993583167</v>
      </c>
      <c r="G195" s="91" t="str">
        <f t="shared" si="41"/>
        <v>factor</v>
      </c>
      <c r="M195" s="91"/>
    </row>
    <row r="196" spans="2:13" outlineLevel="1" x14ac:dyDescent="0.2">
      <c r="E196" s="89" t="str">
        <f t="shared" ref="E196:G196" si="42" xml:space="preserve">  E$13</f>
        <v>Costs impact</v>
      </c>
      <c r="F196" s="89">
        <f t="shared" si="42"/>
        <v>64.896169033540446</v>
      </c>
      <c r="G196" s="89" t="str">
        <f t="shared" si="42"/>
        <v>£ / customer</v>
      </c>
      <c r="M196" s="89"/>
    </row>
    <row r="197" spans="2:13" outlineLevel="1" x14ac:dyDescent="0.2">
      <c r="E197" s="70" t="s">
        <v>194</v>
      </c>
      <c r="F197" s="89">
        <f xml:space="preserve">  $F195 * $F196</f>
        <v>10.579830989675171</v>
      </c>
      <c r="G197" s="70" t="s">
        <v>50</v>
      </c>
      <c r="M197" s="89"/>
    </row>
    <row r="198" spans="2:13" outlineLevel="1" x14ac:dyDescent="0.2"/>
    <row r="199" spans="2:13" outlineLevel="1" x14ac:dyDescent="0.2"/>
    <row r="200" spans="2:13" outlineLevel="1" x14ac:dyDescent="0.2">
      <c r="B200" s="69" t="s">
        <v>195</v>
      </c>
    </row>
    <row r="201" spans="2:13" outlineLevel="1" x14ac:dyDescent="0.2">
      <c r="E201" s="91" t="str">
        <f t="shared" ref="E201:G201" si="43" xml:space="preserve">  E$147</f>
        <v>Other enhancement costs proportion</v>
      </c>
      <c r="F201" s="91">
        <f t="shared" si="43"/>
        <v>0.30494995034621231</v>
      </c>
      <c r="G201" s="91" t="str">
        <f t="shared" si="43"/>
        <v>factor</v>
      </c>
      <c r="M201" s="91"/>
    </row>
    <row r="202" spans="2:13" outlineLevel="1" x14ac:dyDescent="0.2">
      <c r="E202" s="89" t="str">
        <f t="shared" ref="E202:G202" si="44" xml:space="preserve">  E$13</f>
        <v>Costs impact</v>
      </c>
      <c r="F202" s="89">
        <f t="shared" si="44"/>
        <v>64.896169033540446</v>
      </c>
      <c r="G202" s="89" t="str">
        <f t="shared" si="44"/>
        <v>£ / customer</v>
      </c>
      <c r="M202" s="89"/>
    </row>
    <row r="203" spans="2:13" outlineLevel="1" x14ac:dyDescent="0.2">
      <c r="E203" s="70" t="s">
        <v>195</v>
      </c>
      <c r="F203" s="89">
        <f xml:space="preserve">  $F201 * $F202</f>
        <v>19.790083524437559</v>
      </c>
      <c r="G203" s="70" t="s">
        <v>50</v>
      </c>
      <c r="M203" s="89"/>
    </row>
    <row r="204" spans="2:13" outlineLevel="1" x14ac:dyDescent="0.2"/>
    <row r="207" spans="2:13" x14ac:dyDescent="0.2">
      <c r="B207" s="70" t="s">
        <v>98</v>
      </c>
    </row>
  </sheetData>
  <conditionalFormatting sqref="F2">
    <cfRule type="cellIs" dxfId="19" priority="3" stopIfTrue="1" operator="equal">
      <formula>""</formula>
    </cfRule>
  </conditionalFormatting>
  <conditionalFormatting sqref="F2:F3">
    <cfRule type="cellIs" dxfId="18" priority="1" stopIfTrue="1" operator="notEqual">
      <formula>0</formula>
    </cfRule>
  </conditionalFormatting>
  <conditionalFormatting sqref="J3:S3">
    <cfRule type="cellIs" dxfId="17" priority="9" operator="equal">
      <formula>"PPA ext."</formula>
    </cfRule>
    <cfRule type="cellIs" dxfId="16" priority="10" operator="equal">
      <formula>"Delay"</formula>
    </cfRule>
    <cfRule type="cellIs" dxfId="15" priority="11" operator="equal">
      <formula>"Fin Close"</formula>
    </cfRule>
    <cfRule type="cellIs" dxfId="14" priority="12" stopIfTrue="1" operator="equal">
      <formula>"Construction"</formula>
    </cfRule>
    <cfRule type="cellIs" dxfId="13" priority="13" stopIfTrue="1" operator="equal">
      <formula>"Operations"</formula>
    </cfRule>
  </conditionalFormatting>
  <pageMargins left="0.70866141732283472" right="0.70866141732283472" top="0.74803149606299213" bottom="0.74803149606299213" header="0.31496062992125984" footer="0.31496062992125984"/>
  <pageSetup paperSize="9" scale="50" orientation="portrait"/>
  <headerFooter>
    <oddHeader>&amp;L&amp;"-,Regular"&amp;9&amp;K63656APage &amp;P of &amp;N&amp;C&amp;"-,Regular"&amp;9&amp;K63656A&amp;F&amp;R&amp;G</oddHeader>
    <oddFooter>&amp;LSheet: &amp;A&amp;RPrinted on &amp;D at &amp;T</oddFooter>
  </headerFooter>
  <customProperties>
    <customPr name="MMGroup" r:id="rId1"/>
    <customPr name="MMSheetType" r:id="rId2"/>
    <customPr name="MMTimeAxis" r:id="rId3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8C561"/>
    <outlinePr summaryBelow="0" summaryRight="0"/>
    <pageSetUpPr fitToPage="1"/>
  </sheetPr>
  <dimension ref="A1:O41"/>
  <sheetViews>
    <sheetView showGridLines="0" workbookViewId="0">
      <selection activeCell="F26" sqref="F26"/>
    </sheetView>
  </sheetViews>
  <sheetFormatPr defaultColWidth="0" defaultRowHeight="13" x14ac:dyDescent="0.2"/>
  <cols>
    <col min="1" max="2" width="1.44140625" style="7" customWidth="1"/>
    <col min="3" max="3" width="1.44140625" style="24" customWidth="1"/>
    <col min="4" max="4" width="1.44140625" style="45" customWidth="1"/>
    <col min="5" max="5" width="71.44140625" style="9" customWidth="1"/>
    <col min="6" max="6" width="16.33203125" style="9" customWidth="1"/>
    <col min="7" max="8" width="15.109375" style="9" customWidth="1"/>
    <col min="9" max="9" width="3.44140625" style="9" customWidth="1"/>
    <col min="10" max="15" width="15.109375" style="9" customWidth="1"/>
    <col min="16" max="16" width="15.109375" style="9" hidden="1" customWidth="1"/>
    <col min="17" max="16384" width="15.109375" style="9" hidden="1"/>
  </cols>
  <sheetData>
    <row r="1" spans="1:15" s="20" customFormat="1" ht="26" x14ac:dyDescent="0.2">
      <c r="A1" s="30" t="str">
        <f ca="1" xml:space="preserve"> RIGHT(CELL("filename", A1), LEN(CELL("filename", A1)) - SEARCH("]", CELL("filename", A1)))</f>
        <v>OBXValues</v>
      </c>
      <c r="B1" s="19"/>
      <c r="C1" s="21"/>
      <c r="D1" s="17"/>
      <c r="F1" s="63" t="str">
        <f>HYPERLINK("#Contents!A1","Go to contents")</f>
        <v>Go to contents</v>
      </c>
      <c r="H1" s="12"/>
      <c r="J1" s="12"/>
    </row>
    <row r="2" spans="1:15" s="16" customFormat="1" x14ac:dyDescent="0.2">
      <c r="A2" s="13"/>
      <c r="B2" s="13"/>
      <c r="C2" s="23"/>
      <c r="D2" s="22"/>
      <c r="E2" s="6" t="s">
        <v>14</v>
      </c>
      <c r="F2" s="15">
        <v>0</v>
      </c>
      <c r="G2" s="14" t="s">
        <v>15</v>
      </c>
      <c r="H2" s="6"/>
      <c r="I2" s="6"/>
      <c r="J2" s="2"/>
      <c r="K2" s="2"/>
      <c r="L2" s="2"/>
      <c r="M2" s="2"/>
      <c r="N2" s="2"/>
      <c r="O2" s="2"/>
    </row>
    <row r="3" spans="1:15" s="11" customFormat="1" x14ac:dyDescent="0.2">
      <c r="A3" s="13"/>
      <c r="B3" s="13"/>
      <c r="C3" s="23"/>
      <c r="D3" s="22"/>
      <c r="E3" s="9" t="s">
        <v>16</v>
      </c>
      <c r="F3" s="15"/>
      <c r="G3" s="14" t="s">
        <v>17</v>
      </c>
      <c r="H3" s="6"/>
      <c r="I3" s="6"/>
      <c r="J3" s="3"/>
      <c r="K3" s="3"/>
      <c r="L3" s="3"/>
      <c r="M3" s="3"/>
      <c r="N3" s="3"/>
      <c r="O3" s="3"/>
    </row>
    <row r="4" spans="1:15" s="10" customFormat="1" x14ac:dyDescent="0.2">
      <c r="A4" s="13"/>
      <c r="B4" s="13"/>
      <c r="C4" s="23"/>
      <c r="D4" s="22"/>
      <c r="E4" s="6" t="s">
        <v>18</v>
      </c>
      <c r="F4" s="7"/>
      <c r="G4" s="6"/>
      <c r="H4" s="6"/>
      <c r="I4" s="6"/>
    </row>
    <row r="5" spans="1:15" s="11" customFormat="1" x14ac:dyDescent="0.2">
      <c r="A5" s="13"/>
      <c r="B5" s="13"/>
      <c r="C5" s="23"/>
      <c r="D5" s="22"/>
      <c r="E5" s="6" t="s">
        <v>19</v>
      </c>
      <c r="F5" s="7" t="s">
        <v>20</v>
      </c>
      <c r="G5" s="7" t="s">
        <v>21</v>
      </c>
      <c r="H5" s="7" t="s">
        <v>22</v>
      </c>
      <c r="I5" s="6"/>
      <c r="J5" s="1"/>
      <c r="K5" s="1"/>
      <c r="L5" s="1"/>
      <c r="M5" s="1"/>
      <c r="N5" s="1"/>
      <c r="O5" s="1"/>
    </row>
    <row r="6" spans="1:15" x14ac:dyDescent="0.2">
      <c r="D6" s="9"/>
      <c r="F6" s="7"/>
      <c r="G6" s="7"/>
      <c r="H6" s="7"/>
    </row>
    <row r="8" spans="1:15" x14ac:dyDescent="0.2">
      <c r="A8" s="7" t="s">
        <v>199</v>
      </c>
    </row>
    <row r="9" spans="1:15" x14ac:dyDescent="0.2">
      <c r="B9" s="7" t="s">
        <v>200</v>
      </c>
    </row>
    <row r="10" spans="1:15" x14ac:dyDescent="0.2">
      <c r="E10" s="9" t="str">
        <f xml:space="preserve"> InpS!E38</f>
        <v>Combined average bills PR19 (2022-23 prices)</v>
      </c>
      <c r="F10" s="51">
        <f xml:space="preserve"> InpS!F38</f>
        <v>472.38795616390502</v>
      </c>
    </row>
    <row r="11" spans="1:15" x14ac:dyDescent="0.2">
      <c r="E11" s="9" t="str">
        <f xml:space="preserve"> Totex!E93</f>
        <v>Average totex increase/(decrease)</v>
      </c>
      <c r="F11" s="51">
        <f xml:space="preserve"> Totex!F93</f>
        <v>83.983823522995124</v>
      </c>
    </row>
    <row r="12" spans="1:15" x14ac:dyDescent="0.2">
      <c r="E12" s="55" t="str">
        <f xml:space="preserve"> Totex!E112</f>
        <v>Final Impact of PAYG rate change</v>
      </c>
      <c r="F12" s="51">
        <f xml:space="preserve"> Totex!F112</f>
        <v>-34.7670949157216</v>
      </c>
    </row>
    <row r="13" spans="1:15" x14ac:dyDescent="0.2">
      <c r="E13" s="9" t="str">
        <f xml:space="preserve"> RCV!E73</f>
        <v>RCV</v>
      </c>
      <c r="F13" s="51">
        <f xml:space="preserve"> RCV!F73</f>
        <v>30.346119591613522</v>
      </c>
    </row>
    <row r="14" spans="1:15" x14ac:dyDescent="0.2">
      <c r="E14" s="9" t="str">
        <f xml:space="preserve"> RCV!E80</f>
        <v>Run-off rates</v>
      </c>
      <c r="F14" s="51">
        <f xml:space="preserve"> RCV!F80</f>
        <v>-14.666679165346604</v>
      </c>
    </row>
    <row r="15" spans="1:15" x14ac:dyDescent="0.2">
      <c r="E15" s="9" t="str">
        <f xml:space="preserve"> Wholesale!E66</f>
        <v>WACC</v>
      </c>
      <c r="F15" s="51">
        <f xml:space="preserve"> Wholesale!F66</f>
        <v>32.268949133223515</v>
      </c>
    </row>
    <row r="16" spans="1:15" x14ac:dyDescent="0.2">
      <c r="E16" s="9" t="str">
        <f xml:space="preserve"> 'Wholesale reconciliation'!E25</f>
        <v>Wholesale reconciliation items</v>
      </c>
      <c r="F16" s="51">
        <f xml:space="preserve"> 'Wholesale reconciliation'!F25</f>
        <v>13.801390816220662</v>
      </c>
    </row>
    <row r="17" spans="1:6" x14ac:dyDescent="0.2">
      <c r="E17" s="9" t="str">
        <f xml:space="preserve"> 'Other wholesale items'!E81</f>
        <v>Other wholesale items</v>
      </c>
      <c r="F17" s="51">
        <f xml:space="preserve"> 'Other wholesale items'!F81</f>
        <v>-6.2157765393274662</v>
      </c>
    </row>
    <row r="18" spans="1:6" x14ac:dyDescent="0.2">
      <c r="E18" s="9" t="str">
        <f xml:space="preserve"> 'Cost to serve'!E37</f>
        <v>Retail cost to serve</v>
      </c>
      <c r="F18" s="51">
        <f xml:space="preserve"> 'Cost to serve'!F37</f>
        <v>3.1034868761533616</v>
      </c>
    </row>
    <row r="19" spans="1:6" x14ac:dyDescent="0.2">
      <c r="E19" s="9" t="str">
        <f xml:space="preserve"> 'Customer number impacts'!E25</f>
        <v>Customer numbers &amp; retail apportionment</v>
      </c>
      <c r="F19" s="51">
        <f xml:space="preserve"> 'Customer number impacts'!F25</f>
        <v>-21.830990985117182</v>
      </c>
    </row>
    <row r="20" spans="1:6" x14ac:dyDescent="0.2">
      <c r="E20" s="9" t="str">
        <f xml:space="preserve"> InpS!E39</f>
        <v>Combined average bills PR24</v>
      </c>
      <c r="F20" s="51">
        <f xml:space="preserve"> InpS!F39</f>
        <v>558.41118449859835</v>
      </c>
    </row>
    <row r="24" spans="1:6" x14ac:dyDescent="0.2">
      <c r="A24" s="7" t="s">
        <v>201</v>
      </c>
    </row>
    <row r="25" spans="1:6" x14ac:dyDescent="0.2">
      <c r="B25" s="7" t="s">
        <v>200</v>
      </c>
    </row>
    <row r="26" spans="1:6" x14ac:dyDescent="0.2">
      <c r="E26" s="50" t="str">
        <f xml:space="preserve"> InpS!E38</f>
        <v>Combined average bills PR19 (2022-23 prices)</v>
      </c>
      <c r="F26" s="51">
        <f xml:space="preserve"> InpS!F38</f>
        <v>472.38795616390502</v>
      </c>
    </row>
    <row r="27" spans="1:6" x14ac:dyDescent="0.2">
      <c r="E27" s="50" t="str">
        <f xml:space="preserve"> 'Breakdown by costs'!E155</f>
        <v>Base expenditure</v>
      </c>
      <c r="F27" s="51">
        <f xml:space="preserve"> 'Breakdown by costs'!F155</f>
        <v>14.585044763695262</v>
      </c>
    </row>
    <row r="28" spans="1:6" x14ac:dyDescent="0.2">
      <c r="E28" s="50" t="str">
        <f xml:space="preserve"> 'Breakdown by costs'!E161</f>
        <v>Storm overflows</v>
      </c>
      <c r="F28" s="51">
        <f xml:space="preserve"> 'Breakdown by costs'!F161</f>
        <v>6.3027741590002275</v>
      </c>
    </row>
    <row r="29" spans="1:6" x14ac:dyDescent="0.2">
      <c r="E29" s="50" t="str">
        <f xml:space="preserve"> 'Breakdown by costs'!E167</f>
        <v>Nutrient removal</v>
      </c>
      <c r="F29" s="51">
        <f xml:space="preserve"> 'Breakdown by costs'!F167</f>
        <v>5.4929604405268506</v>
      </c>
    </row>
    <row r="30" spans="1:6" x14ac:dyDescent="0.2">
      <c r="E30" s="50" t="str">
        <f xml:space="preserve"> 'Breakdown by costs'!E173</f>
        <v>Resilience</v>
      </c>
      <c r="F30" s="51">
        <f xml:space="preserve"> 'Breakdown by costs'!F173</f>
        <v>4.1188277844221775</v>
      </c>
    </row>
    <row r="31" spans="1:6" x14ac:dyDescent="0.2">
      <c r="E31" s="50" t="str">
        <f xml:space="preserve"> 'Breakdown by costs'!E179</f>
        <v>Net zero</v>
      </c>
      <c r="F31" s="51">
        <f xml:space="preserve"> 'Breakdown by costs'!F179</f>
        <v>3.4805850743784061</v>
      </c>
    </row>
    <row r="32" spans="1:6" x14ac:dyDescent="0.2">
      <c r="E32" s="50" t="str">
        <f xml:space="preserve"> 'Breakdown by costs'!E185</f>
        <v>WRMP</v>
      </c>
      <c r="F32" s="51">
        <f xml:space="preserve"> 'Breakdown by costs'!F185</f>
        <v>3.0179156537550567</v>
      </c>
    </row>
    <row r="33" spans="5:6" x14ac:dyDescent="0.2">
      <c r="E33" s="50" t="str">
        <f xml:space="preserve"> 'Breakdown by costs'!E191</f>
        <v>Environmental</v>
      </c>
      <c r="F33" s="51">
        <f xml:space="preserve"> 'Breakdown by costs'!F191</f>
        <v>-2.4718533563502709</v>
      </c>
    </row>
    <row r="34" spans="5:6" x14ac:dyDescent="0.2">
      <c r="E34" s="50" t="str">
        <f xml:space="preserve"> 'Breakdown by costs'!E197</f>
        <v>Other environmental</v>
      </c>
      <c r="F34" s="51">
        <f xml:space="preserve"> 'Breakdown by costs'!F197</f>
        <v>10.579830989675171</v>
      </c>
    </row>
    <row r="35" spans="5:6" x14ac:dyDescent="0.2">
      <c r="E35" s="50" t="str">
        <f xml:space="preserve"> 'Breakdown by costs'!E203</f>
        <v>Other enhancement costs</v>
      </c>
      <c r="F35" s="51">
        <f xml:space="preserve"> 'Breakdown by costs'!F203</f>
        <v>19.790083524437559</v>
      </c>
    </row>
    <row r="36" spans="5:6" x14ac:dyDescent="0.2">
      <c r="E36" s="50" t="str">
        <f xml:space="preserve"> Wholesale!E66</f>
        <v>WACC</v>
      </c>
      <c r="F36" s="51">
        <f xml:space="preserve"> Wholesale!F66</f>
        <v>32.268949133223515</v>
      </c>
    </row>
    <row r="37" spans="5:6" x14ac:dyDescent="0.2">
      <c r="E37" s="50" t="str">
        <f xml:space="preserve"> 'Wholesale reconciliation'!E25</f>
        <v>Wholesale reconciliation items</v>
      </c>
      <c r="F37" s="51">
        <f xml:space="preserve"> 'Wholesale reconciliation'!F25</f>
        <v>13.801390816220662</v>
      </c>
    </row>
    <row r="38" spans="5:6" x14ac:dyDescent="0.2">
      <c r="E38" s="50" t="str">
        <f xml:space="preserve"> 'Other wholesale items'!E81</f>
        <v>Other wholesale items</v>
      </c>
      <c r="F38" s="51">
        <f xml:space="preserve"> 'Other wholesale items'!F81</f>
        <v>-6.2157765393274662</v>
      </c>
    </row>
    <row r="39" spans="5:6" x14ac:dyDescent="0.2">
      <c r="E39" s="50" t="str">
        <f xml:space="preserve"> 'Cost to serve'!E37</f>
        <v>Retail cost to serve</v>
      </c>
      <c r="F39" s="51">
        <f xml:space="preserve"> 'Cost to serve'!F37</f>
        <v>3.1034868761533616</v>
      </c>
    </row>
    <row r="40" spans="5:6" x14ac:dyDescent="0.2">
      <c r="E40" s="50" t="str">
        <f xml:space="preserve"> 'Customer number impacts'!E25</f>
        <v>Customer numbers &amp; retail apportionment</v>
      </c>
      <c r="F40" s="51">
        <f xml:space="preserve"> 'Customer number impacts'!F25</f>
        <v>-21.830990985117182</v>
      </c>
    </row>
    <row r="41" spans="5:6" x14ac:dyDescent="0.2">
      <c r="E41" s="50" t="str">
        <f xml:space="preserve"> InpS!E39</f>
        <v>Combined average bills PR24</v>
      </c>
      <c r="F41" s="51">
        <f xml:space="preserve"> InpS!F39</f>
        <v>558.41118449859835</v>
      </c>
    </row>
  </sheetData>
  <conditionalFormatting sqref="F2">
    <cfRule type="cellIs" dxfId="12" priority="3" stopIfTrue="1" operator="equal">
      <formula>""</formula>
    </cfRule>
  </conditionalFormatting>
  <conditionalFormatting sqref="F2:F3">
    <cfRule type="cellIs" dxfId="11" priority="1" stopIfTrue="1" operator="notEqual">
      <formula>0</formula>
    </cfRule>
  </conditionalFormatting>
  <conditionalFormatting sqref="J3:O3">
    <cfRule type="cellIs" dxfId="10" priority="4" operator="equal">
      <formula>"PPA ext."</formula>
    </cfRule>
    <cfRule type="cellIs" dxfId="9" priority="5" operator="equal">
      <formula>"Delay"</formula>
    </cfRule>
    <cfRule type="cellIs" dxfId="8" priority="6" operator="equal">
      <formula>"Fin Close"</formula>
    </cfRule>
    <cfRule type="cellIs" dxfId="7" priority="7" stopIfTrue="1" operator="equal">
      <formula>"Construction"</formula>
    </cfRule>
    <cfRule type="cellIs" dxfId="6" priority="8" stopIfTrue="1" operator="equal">
      <formula>"Operations"</formula>
    </cfRule>
  </conditionalFormatting>
  <pageMargins left="0.70866141732283472" right="0.70866141732283472" top="0.74803149606299213" bottom="0.74803149606299213" header="0.31496062992125984" footer="0.31496062992125984"/>
  <pageSetup paperSize="9" scale="50" orientation="portrait" r:id="rId1"/>
  <headerFooter>
    <oddHeader>&amp;L&amp;"-,Regular"&amp;9&amp;K63656APage &amp;P of &amp;N&amp;C&amp;"-,Regular"&amp;9&amp;K63656A&amp;F&amp;R&amp;G</oddHeader>
    <oddFooter>&amp;LSheet: &amp;A&amp;RPrinted on &amp;D at &amp;T</oddFooter>
  </headerFooter>
  <customProperties>
    <customPr name="MMSheetType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8C561"/>
    <pageSetUpPr fitToPage="1"/>
  </sheetPr>
  <dimension ref="A1:S21"/>
  <sheetViews>
    <sheetView showGridLines="0" workbookViewId="0">
      <pane xSplit="9" ySplit="5" topLeftCell="J6" activePane="bottomRight" state="frozen"/>
      <selection pane="topRight"/>
      <selection pane="bottomLeft"/>
      <selection pane="bottomRight" activeCell="J6" sqref="J6"/>
    </sheetView>
  </sheetViews>
  <sheetFormatPr defaultColWidth="0" defaultRowHeight="13" x14ac:dyDescent="0.2"/>
  <cols>
    <col min="1" max="4" width="1.44140625" style="70" customWidth="1"/>
    <col min="5" max="5" width="44" style="70" bestFit="1" customWidth="1"/>
    <col min="6" max="6" width="18.6640625" style="70" bestFit="1" customWidth="1"/>
    <col min="7" max="7" width="14.6640625" style="70" bestFit="1" customWidth="1"/>
    <col min="8" max="8" width="6.6640625" style="70" bestFit="1" customWidth="1"/>
    <col min="9" max="9" width="3.44140625" style="70" customWidth="1"/>
    <col min="10" max="19" width="11.109375" style="70" bestFit="1" customWidth="1"/>
    <col min="20" max="20" width="15.109375" style="70" hidden="1" customWidth="1"/>
    <col min="21" max="16384" width="15.109375" style="70" hidden="1"/>
  </cols>
  <sheetData>
    <row r="1" spans="1:19" s="44" customFormat="1" ht="26" x14ac:dyDescent="0.2">
      <c r="A1" s="30" t="str">
        <f ca="1" xml:space="preserve"> RIGHT(CELL("filename", A1), LEN(CELL("filename", A1)) - SEARCH("]", CELL("filename", A1)))</f>
        <v>Total bill impacts</v>
      </c>
      <c r="B1" s="54"/>
      <c r="C1" s="42"/>
      <c r="D1" s="49"/>
      <c r="F1" s="38" t="str">
        <f>HYPERLINK("#Contents!A1","Go to contents")</f>
        <v>Go to contents</v>
      </c>
      <c r="H1" s="34"/>
      <c r="J1" s="34"/>
    </row>
    <row r="2" spans="1:19" s="16" customFormat="1" x14ac:dyDescent="0.2">
      <c r="A2" s="48"/>
      <c r="B2" s="48"/>
      <c r="C2" s="56"/>
      <c r="D2" s="64"/>
      <c r="E2" s="6" t="s">
        <v>14</v>
      </c>
      <c r="F2" s="15">
        <v>0</v>
      </c>
      <c r="G2" s="14" t="s">
        <v>15</v>
      </c>
      <c r="H2" s="46"/>
      <c r="I2" s="46"/>
      <c r="J2" s="2">
        <f xml:space="preserve"> Time!J$13</f>
        <v>44286</v>
      </c>
      <c r="K2" s="2">
        <f xml:space="preserve"> Time!K$13</f>
        <v>44651</v>
      </c>
      <c r="L2" s="2">
        <f xml:space="preserve"> Time!L$13</f>
        <v>45016</v>
      </c>
      <c r="M2" s="2">
        <f xml:space="preserve"> Time!M$13</f>
        <v>45382</v>
      </c>
      <c r="N2" s="2">
        <f xml:space="preserve"> Time!N$13</f>
        <v>45747</v>
      </c>
      <c r="O2" s="2">
        <f xml:space="preserve"> Time!O$13</f>
        <v>46112</v>
      </c>
      <c r="P2" s="2">
        <f xml:space="preserve"> Time!P$13</f>
        <v>46477</v>
      </c>
      <c r="Q2" s="2">
        <f xml:space="preserve"> Time!Q$13</f>
        <v>46843</v>
      </c>
      <c r="R2" s="2">
        <f xml:space="preserve"> Time!R$13</f>
        <v>47208</v>
      </c>
      <c r="S2" s="2">
        <f xml:space="preserve"> Time!S$13</f>
        <v>47573</v>
      </c>
    </row>
    <row r="3" spans="1:19" s="11" customFormat="1" x14ac:dyDescent="0.2">
      <c r="A3" s="48"/>
      <c r="B3" s="48"/>
      <c r="C3" s="56"/>
      <c r="D3" s="64"/>
      <c r="E3" s="9" t="s">
        <v>16</v>
      </c>
      <c r="F3" s="15"/>
      <c r="G3" s="14" t="s">
        <v>17</v>
      </c>
      <c r="H3" s="46"/>
      <c r="I3" s="46"/>
      <c r="J3" s="3" t="str">
        <f xml:space="preserve"> Time!J$18</f>
        <v>PR19</v>
      </c>
      <c r="K3" s="3" t="str">
        <f xml:space="preserve"> Time!K$18</f>
        <v>PR19</v>
      </c>
      <c r="L3" s="3" t="str">
        <f xml:space="preserve"> Time!L$18</f>
        <v>PR19</v>
      </c>
      <c r="M3" s="3" t="str">
        <f xml:space="preserve"> Time!M$18</f>
        <v>PR19</v>
      </c>
      <c r="N3" s="3" t="str">
        <f xml:space="preserve"> Time!N$18</f>
        <v>PR19</v>
      </c>
      <c r="O3" s="3" t="str">
        <f xml:space="preserve"> Time!O$18</f>
        <v>PR24</v>
      </c>
      <c r="P3" s="3" t="str">
        <f xml:space="preserve"> Time!P$18</f>
        <v>PR24</v>
      </c>
      <c r="Q3" s="3" t="str">
        <f xml:space="preserve"> Time!Q$18</f>
        <v>PR24</v>
      </c>
      <c r="R3" s="3" t="str">
        <f xml:space="preserve"> Time!R$18</f>
        <v>PR24</v>
      </c>
      <c r="S3" s="3" t="str">
        <f xml:space="preserve"> Time!S$18</f>
        <v>PR24</v>
      </c>
    </row>
    <row r="4" spans="1:19" s="10" customFormat="1" x14ac:dyDescent="0.2">
      <c r="A4" s="48"/>
      <c r="B4" s="48"/>
      <c r="C4" s="56"/>
      <c r="D4" s="64"/>
      <c r="E4" s="6" t="s">
        <v>18</v>
      </c>
      <c r="F4" s="31"/>
      <c r="G4" s="31"/>
      <c r="H4" s="46"/>
      <c r="I4" s="46"/>
      <c r="J4" s="10">
        <f xml:space="preserve"> Time!J$23</f>
        <v>1</v>
      </c>
      <c r="K4" s="10">
        <f xml:space="preserve"> Time!K$23</f>
        <v>2</v>
      </c>
      <c r="L4" s="10">
        <f xml:space="preserve"> Time!L$23</f>
        <v>3</v>
      </c>
      <c r="M4" s="10">
        <f xml:space="preserve"> Time!M$23</f>
        <v>4</v>
      </c>
      <c r="N4" s="10">
        <f xml:space="preserve"> Time!N$23</f>
        <v>5</v>
      </c>
      <c r="O4" s="10">
        <f xml:space="preserve"> Time!O$23</f>
        <v>6</v>
      </c>
      <c r="P4" s="10">
        <f xml:space="preserve"> Time!P$23</f>
        <v>7</v>
      </c>
      <c r="Q4" s="10">
        <f xml:space="preserve"> Time!Q$23</f>
        <v>8</v>
      </c>
      <c r="R4" s="10">
        <f xml:space="preserve"> Time!R$23</f>
        <v>9</v>
      </c>
      <c r="S4" s="10">
        <f xml:space="preserve"> Time!S$23</f>
        <v>10</v>
      </c>
    </row>
    <row r="5" spans="1:19" s="11" customFormat="1" x14ac:dyDescent="0.2">
      <c r="A5" s="48"/>
      <c r="B5" s="48"/>
      <c r="C5" s="56"/>
      <c r="D5" s="64"/>
      <c r="E5" s="6" t="s">
        <v>19</v>
      </c>
      <c r="F5" s="32" t="s">
        <v>20</v>
      </c>
      <c r="G5" s="32" t="s">
        <v>21</v>
      </c>
      <c r="H5" s="32" t="s">
        <v>22</v>
      </c>
      <c r="I5" s="46"/>
      <c r="J5" s="1">
        <f xml:space="preserve"> Time!J$27</f>
        <v>1</v>
      </c>
      <c r="K5" s="1">
        <f xml:space="preserve"> Time!K$27</f>
        <v>2</v>
      </c>
      <c r="L5" s="1">
        <f xml:space="preserve"> Time!L$27</f>
        <v>3</v>
      </c>
      <c r="M5" s="1">
        <f xml:space="preserve"> Time!M$27</f>
        <v>4</v>
      </c>
      <c r="N5" s="1">
        <f xml:space="preserve"> Time!N$27</f>
        <v>5</v>
      </c>
      <c r="O5" s="1">
        <f xml:space="preserve"> Time!O$27</f>
        <v>6</v>
      </c>
      <c r="P5" s="1">
        <f xml:space="preserve"> Time!P$27</f>
        <v>7</v>
      </c>
      <c r="Q5" s="1">
        <f xml:space="preserve"> Time!Q$27</f>
        <v>8</v>
      </c>
      <c r="R5" s="1">
        <f xml:space="preserve"> Time!R$27</f>
        <v>9</v>
      </c>
      <c r="S5" s="1">
        <f xml:space="preserve"> Time!S$27</f>
        <v>10</v>
      </c>
    </row>
    <row r="6" spans="1:19" s="50" customFormat="1" x14ac:dyDescent="0.2">
      <c r="A6" s="32"/>
      <c r="B6" s="32"/>
      <c r="C6" s="53"/>
      <c r="F6" s="32"/>
      <c r="G6" s="32"/>
      <c r="H6" s="32"/>
    </row>
    <row r="8" spans="1:19" x14ac:dyDescent="0.2">
      <c r="C8" s="85" t="s">
        <v>27</v>
      </c>
    </row>
    <row r="9" spans="1:19" x14ac:dyDescent="0.2">
      <c r="E9" s="86" t="str">
        <f xml:space="preserve"> Totex!E$93</f>
        <v>Average totex increase/(decrease)</v>
      </c>
      <c r="F9" s="86">
        <f xml:space="preserve"> Totex!$F$93</f>
        <v>83.983823522995124</v>
      </c>
      <c r="G9" s="86" t="str">
        <f xml:space="preserve"> Totex!G$93</f>
        <v>£ / customer</v>
      </c>
      <c r="H9" s="86"/>
      <c r="I9" s="86"/>
      <c r="J9" s="87"/>
      <c r="K9" s="87"/>
      <c r="L9" s="87"/>
      <c r="M9" s="87"/>
      <c r="N9" s="87"/>
      <c r="O9" s="87"/>
      <c r="P9" s="87"/>
      <c r="Q9" s="87"/>
      <c r="R9" s="87"/>
      <c r="S9" s="87"/>
    </row>
    <row r="10" spans="1:19" x14ac:dyDescent="0.2">
      <c r="E10" s="86" t="str">
        <f xml:space="preserve"> Totex!E$112</f>
        <v>Final Impact of PAYG rate change</v>
      </c>
      <c r="F10" s="86">
        <f xml:space="preserve"> Totex!$F$112</f>
        <v>-34.7670949157216</v>
      </c>
      <c r="G10" s="86" t="str">
        <f xml:space="preserve"> Totex!G$112</f>
        <v>£ / customer</v>
      </c>
      <c r="H10" s="86"/>
      <c r="I10" s="86"/>
      <c r="J10" s="87"/>
      <c r="K10" s="87"/>
      <c r="L10" s="87"/>
      <c r="M10" s="87"/>
      <c r="N10" s="87"/>
      <c r="O10" s="87"/>
      <c r="P10" s="87"/>
      <c r="Q10" s="87"/>
      <c r="R10" s="87"/>
      <c r="S10" s="87"/>
    </row>
    <row r="11" spans="1:19" x14ac:dyDescent="0.2">
      <c r="C11" s="85" t="s">
        <v>35</v>
      </c>
    </row>
    <row r="12" spans="1:19" x14ac:dyDescent="0.2">
      <c r="E12" s="86" t="str">
        <f xml:space="preserve"> RCV!E$73</f>
        <v>RCV</v>
      </c>
      <c r="F12" s="86">
        <f xml:space="preserve"> RCV!$F$73</f>
        <v>30.346119591613522</v>
      </c>
      <c r="G12" s="86" t="str">
        <f xml:space="preserve"> RCV!G$73</f>
        <v>£ / customer</v>
      </c>
      <c r="H12" s="86"/>
      <c r="I12" s="86"/>
      <c r="J12" s="87"/>
      <c r="K12" s="87"/>
      <c r="L12" s="87"/>
      <c r="M12" s="87"/>
      <c r="N12" s="87"/>
      <c r="O12" s="87"/>
      <c r="P12" s="87"/>
      <c r="Q12" s="87"/>
      <c r="R12" s="87"/>
      <c r="S12" s="87"/>
    </row>
    <row r="13" spans="1:19" x14ac:dyDescent="0.2">
      <c r="E13" s="86" t="str">
        <f xml:space="preserve"> RCV!E$80</f>
        <v>Run-off rates</v>
      </c>
      <c r="F13" s="86">
        <f xml:space="preserve"> RCV!$F$80</f>
        <v>-14.666679165346604</v>
      </c>
      <c r="G13" s="86" t="str">
        <f xml:space="preserve"> RCV!G$80</f>
        <v>£ / customer</v>
      </c>
      <c r="H13" s="86"/>
      <c r="I13" s="86"/>
      <c r="J13" s="87"/>
      <c r="K13" s="87"/>
      <c r="L13" s="87"/>
      <c r="M13" s="87"/>
      <c r="N13" s="87"/>
      <c r="O13" s="87"/>
      <c r="P13" s="87"/>
      <c r="Q13" s="87"/>
      <c r="R13" s="87"/>
      <c r="S13" s="87"/>
    </row>
    <row r="14" spans="1:19" x14ac:dyDescent="0.2">
      <c r="C14" s="85" t="s">
        <v>196</v>
      </c>
    </row>
    <row r="15" spans="1:19" x14ac:dyDescent="0.2">
      <c r="E15" s="86" t="str">
        <f xml:space="preserve"> Wholesale!E$66</f>
        <v>WACC</v>
      </c>
      <c r="F15" s="86">
        <f xml:space="preserve"> Wholesale!$F$66</f>
        <v>32.268949133223515</v>
      </c>
      <c r="G15" s="86" t="str">
        <f xml:space="preserve"> Wholesale!G$66</f>
        <v>£ / customer</v>
      </c>
      <c r="H15" s="86"/>
      <c r="I15" s="86"/>
      <c r="J15" s="87"/>
      <c r="K15" s="87"/>
      <c r="L15" s="87"/>
      <c r="M15" s="87"/>
      <c r="N15" s="87"/>
      <c r="O15" s="87"/>
      <c r="P15" s="87"/>
      <c r="Q15" s="87"/>
      <c r="R15" s="87"/>
      <c r="S15" s="87"/>
    </row>
    <row r="16" spans="1:19" x14ac:dyDescent="0.2">
      <c r="C16" s="85" t="s">
        <v>197</v>
      </c>
    </row>
    <row r="17" spans="3:19" x14ac:dyDescent="0.2">
      <c r="E17" s="86" t="str">
        <f xml:space="preserve"> 'Wholesale reconciliation'!E$25</f>
        <v>Wholesale reconciliation items</v>
      </c>
      <c r="F17" s="86">
        <f xml:space="preserve"> 'Wholesale reconciliation'!$F$25</f>
        <v>13.801390816220662</v>
      </c>
      <c r="G17" s="86" t="str">
        <f xml:space="preserve"> 'Wholesale reconciliation'!G$25</f>
        <v>£ / customer</v>
      </c>
      <c r="H17" s="86"/>
      <c r="I17" s="86"/>
      <c r="J17" s="87"/>
      <c r="K17" s="87"/>
      <c r="L17" s="87"/>
      <c r="M17" s="87"/>
      <c r="N17" s="87"/>
      <c r="O17" s="87"/>
      <c r="P17" s="87"/>
      <c r="Q17" s="87"/>
      <c r="R17" s="87"/>
      <c r="S17" s="87"/>
    </row>
    <row r="18" spans="3:19" x14ac:dyDescent="0.2">
      <c r="E18" s="86" t="str">
        <f xml:space="preserve"> 'Other wholesale items'!E$81</f>
        <v>Other wholesale items</v>
      </c>
      <c r="F18" s="86">
        <f xml:space="preserve"> 'Other wholesale items'!$F$81</f>
        <v>-6.2157765393274662</v>
      </c>
      <c r="G18" s="86" t="str">
        <f xml:space="preserve"> 'Other wholesale items'!G$81</f>
        <v>£ / customer</v>
      </c>
      <c r="H18" s="86"/>
      <c r="I18" s="86"/>
      <c r="J18" s="87"/>
      <c r="K18" s="87"/>
      <c r="L18" s="87"/>
      <c r="M18" s="87"/>
      <c r="N18" s="87"/>
      <c r="O18" s="87"/>
      <c r="P18" s="87"/>
      <c r="Q18" s="87"/>
      <c r="R18" s="87"/>
      <c r="S18" s="87"/>
    </row>
    <row r="19" spans="3:19" x14ac:dyDescent="0.2">
      <c r="C19" s="85" t="s">
        <v>198</v>
      </c>
    </row>
    <row r="20" spans="3:19" x14ac:dyDescent="0.2">
      <c r="E20" s="86" t="str">
        <f xml:space="preserve"> 'Cost to serve'!E$37</f>
        <v>Retail cost to serve</v>
      </c>
      <c r="F20" s="86">
        <f xml:space="preserve"> 'Cost to serve'!$F$37</f>
        <v>3.1034868761533616</v>
      </c>
      <c r="G20" s="86" t="str">
        <f xml:space="preserve"> 'Cost to serve'!G$37</f>
        <v>£ / customer</v>
      </c>
      <c r="H20" s="86"/>
      <c r="I20" s="86"/>
      <c r="J20" s="87"/>
      <c r="K20" s="87"/>
      <c r="L20" s="87"/>
      <c r="M20" s="87"/>
      <c r="N20" s="87"/>
      <c r="O20" s="87"/>
      <c r="P20" s="87"/>
      <c r="Q20" s="87"/>
      <c r="R20" s="87"/>
      <c r="S20" s="87"/>
    </row>
    <row r="21" spans="3:19" x14ac:dyDescent="0.2">
      <c r="E21" s="86" t="str">
        <f xml:space="preserve"> 'Customer number impacts'!E$25</f>
        <v>Customer numbers &amp; retail apportionment</v>
      </c>
      <c r="F21" s="86">
        <f xml:space="preserve"> 'Customer number impacts'!$F$25</f>
        <v>-21.830990985117182</v>
      </c>
      <c r="G21" s="86" t="str">
        <f xml:space="preserve"> 'Customer number impacts'!G$25</f>
        <v>£ / customer</v>
      </c>
      <c r="H21" s="86"/>
      <c r="I21" s="86"/>
      <c r="J21" s="87"/>
      <c r="K21" s="87"/>
      <c r="L21" s="87"/>
      <c r="M21" s="87"/>
      <c r="N21" s="87"/>
      <c r="O21" s="87"/>
      <c r="P21" s="87"/>
      <c r="Q21" s="87"/>
      <c r="R21" s="87"/>
      <c r="S21" s="87"/>
    </row>
  </sheetData>
  <conditionalFormatting sqref="F2:F3">
    <cfRule type="cellIs" dxfId="5" priority="1" stopIfTrue="1" operator="notEqual">
      <formula>0</formula>
    </cfRule>
  </conditionalFormatting>
  <conditionalFormatting sqref="J3:S3">
    <cfRule type="cellIs" dxfId="4" priority="3" operator="equal">
      <formula>"PPA ext."</formula>
    </cfRule>
    <cfRule type="cellIs" dxfId="3" priority="4" operator="equal">
      <formula>"Delay"</formula>
    </cfRule>
    <cfRule type="cellIs" dxfId="2" priority="5" operator="equal">
      <formula>"Fin Close"</formula>
    </cfRule>
    <cfRule type="cellIs" dxfId="1" priority="6" stopIfTrue="1" operator="equal">
      <formula>"Construction"</formula>
    </cfRule>
    <cfRule type="cellIs" dxfId="0" priority="7" stopIfTrue="1" operator="equal">
      <formula>"Operations"</formula>
    </cfRule>
  </conditionalFormatting>
  <pageMargins left="0.70866141732283472" right="0.70866141732283472" top="0.74803149606299213" bottom="0.74803149606299213" header="0.31496062992125984" footer="0.31496062992125984"/>
  <pageSetup paperSize="9" scale="47" orientation="portrait"/>
  <headerFooter>
    <oddHeader>&amp;L&amp;"-,Regular"&amp;9&amp;K63656APage &amp;P of &amp;N&amp;C&amp;"-,Regular"&amp;9&amp;K63656A&amp;F&amp;R&amp;G</oddHeader>
    <oddFooter>&amp;LSheet: &amp;A&amp;RPrinted on &amp;D at &amp;T</oddFooter>
  </headerFooter>
  <customProperties>
    <customPr name="MMGroup" r:id="rId1"/>
    <customPr name="MMSheetType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8C561"/>
    <pageSetUpPr fitToPage="1"/>
  </sheetPr>
  <dimension ref="A1:AP71"/>
  <sheetViews>
    <sheetView showGridLines="0" topLeftCell="D1" zoomScale="70" zoomScaleNormal="70" workbookViewId="0">
      <selection activeCell="O50" sqref="O50"/>
    </sheetView>
  </sheetViews>
  <sheetFormatPr defaultColWidth="0" defaultRowHeight="12.75" customHeight="1" zeroHeight="1" x14ac:dyDescent="0.2"/>
  <cols>
    <col min="1" max="1" width="8.6640625" style="31" customWidth="1"/>
    <col min="2" max="2" width="52.6640625" style="31" bestFit="1" customWidth="1"/>
    <col min="3" max="5" width="23.33203125" style="31" customWidth="1"/>
    <col min="6" max="20" width="8.6640625" style="31" customWidth="1"/>
    <col min="21" max="21" width="51.6640625" style="31" customWidth="1"/>
    <col min="22" max="22" width="9" style="31" hidden="1" customWidth="1"/>
    <col min="23" max="42" width="8.6640625" style="31" customWidth="1"/>
    <col min="43" max="43" width="8.6640625" style="31" hidden="1" customWidth="1"/>
    <col min="44" max="16384" width="8.6640625" style="31" hidden="1"/>
  </cols>
  <sheetData>
    <row r="1" spans="1:42" s="44" customFormat="1" ht="26" x14ac:dyDescent="0.2">
      <c r="A1" s="30" t="str">
        <f ca="1" xml:space="preserve"> RIGHT(CELL("filename", A1), LEN(CELL("filename", A1)) - SEARCH("]", CELL("filename", A1)))</f>
        <v>Bill impact waterfall</v>
      </c>
      <c r="B1" s="42"/>
      <c r="C1" s="49"/>
      <c r="E1" s="38" t="str">
        <f>HYPERLINK("#Contents!A1","Go to contents")</f>
        <v>Go to contents</v>
      </c>
      <c r="G1" s="34"/>
      <c r="I1" s="34"/>
    </row>
    <row r="2" spans="1:42" ht="11.25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</row>
    <row r="3" spans="1:42" ht="26" x14ac:dyDescent="0.2">
      <c r="A3" s="5"/>
      <c r="B3" s="47" t="s">
        <v>200</v>
      </c>
      <c r="C3" s="37" t="s">
        <v>202</v>
      </c>
      <c r="D3" s="37" t="s">
        <v>203</v>
      </c>
      <c r="E3" s="37" t="s">
        <v>204</v>
      </c>
      <c r="F3" s="35"/>
      <c r="G3" s="35"/>
      <c r="H3" s="35"/>
      <c r="I3" s="3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</row>
    <row r="4" spans="1:42" s="84" customFormat="1" ht="20.25" customHeight="1" x14ac:dyDescent="0.2">
      <c r="A4" s="83"/>
      <c r="B4" s="41" t="s">
        <v>205</v>
      </c>
      <c r="C4" s="29">
        <f>OBXValues!F10</f>
        <v>472.38795616390502</v>
      </c>
      <c r="D4" s="29">
        <f>OBXValues!F10</f>
        <v>472.38795616390502</v>
      </c>
      <c r="E4" s="29"/>
      <c r="F4" s="27"/>
      <c r="G4" s="27"/>
      <c r="H4" s="27"/>
      <c r="I4" s="27"/>
      <c r="J4" s="83"/>
      <c r="K4" s="83"/>
      <c r="L4" s="83"/>
      <c r="M4" s="83"/>
      <c r="N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</row>
    <row r="5" spans="1:42" s="84" customFormat="1" ht="20.25" customHeight="1" x14ac:dyDescent="0.2">
      <c r="A5" s="83"/>
      <c r="B5" s="41" t="s">
        <v>118</v>
      </c>
      <c r="C5" s="29">
        <f>OBXValues!F11</f>
        <v>83.983823522995124</v>
      </c>
      <c r="D5" s="29"/>
      <c r="E5" s="29">
        <f xml:space="preserve"> MAX(0,MIN(SUM(C$4:C4),SUM(C$4:C5)))+MIN(0,MAX(SUM(C$4:C4),SUM(C$4:C5)))</f>
        <v>472.38795616390502</v>
      </c>
      <c r="F5" s="28">
        <f xml:space="preserve"> MAX(0,MIN(SUM(C$4:C5),C5))</f>
        <v>83.983823522995124</v>
      </c>
      <c r="G5" s="28">
        <f t="shared" ref="G5:G13" si="0" xml:space="preserve"> -MAX(0,C5-F5)</f>
        <v>0</v>
      </c>
      <c r="H5" s="28">
        <f t="shared" ref="H5:H13" si="1" xml:space="preserve"> MAX(0,I5-C5)</f>
        <v>0</v>
      </c>
      <c r="I5" s="28">
        <f xml:space="preserve"> MIN(0,MAX(SUM(C$4:C5),C5))</f>
        <v>0</v>
      </c>
      <c r="J5" s="83"/>
      <c r="K5" s="83"/>
      <c r="L5" s="83"/>
      <c r="M5" s="83"/>
      <c r="N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</row>
    <row r="6" spans="1:42" s="84" customFormat="1" ht="20.25" customHeight="1" x14ac:dyDescent="0.2">
      <c r="A6" s="83"/>
      <c r="B6" s="41" t="s">
        <v>206</v>
      </c>
      <c r="C6" s="29">
        <f>OBXValues!F12</f>
        <v>-34.7670949157216</v>
      </c>
      <c r="D6" s="29"/>
      <c r="E6" s="29">
        <f xml:space="preserve"> MAX(0,MIN(SUM(C$4:C5),SUM(C$4:C6)))+MIN(0,MAX(SUM(C$4:C5),SUM(C$4:C6)))</f>
        <v>521.60468477117854</v>
      </c>
      <c r="F6" s="28">
        <f xml:space="preserve"> MAX(0,MIN(SUM(C$4:C6),C6))</f>
        <v>0</v>
      </c>
      <c r="G6" s="28">
        <f t="shared" si="0"/>
        <v>0</v>
      </c>
      <c r="H6" s="28">
        <f t="shared" si="1"/>
        <v>34.7670949157216</v>
      </c>
      <c r="I6" s="28">
        <f xml:space="preserve"> MIN(0,MAX(SUM(C$4:C6),C6))</f>
        <v>0</v>
      </c>
      <c r="J6" s="83"/>
      <c r="K6" s="83"/>
      <c r="L6" s="83"/>
      <c r="M6" s="83"/>
      <c r="N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</row>
    <row r="7" spans="1:42" s="84" customFormat="1" ht="20.25" customHeight="1" x14ac:dyDescent="0.2">
      <c r="A7" s="83"/>
      <c r="B7" s="41" t="s">
        <v>35</v>
      </c>
      <c r="C7" s="29">
        <f>OBXValues!F13</f>
        <v>30.346119591613522</v>
      </c>
      <c r="D7" s="29"/>
      <c r="E7" s="29">
        <f xml:space="preserve"> MAX(0,MIN(SUM(C$4:C6),SUM(C$4:C7)))+MIN(0,MAX(SUM(C$4:C6),SUM(C$4:C7)))</f>
        <v>521.60468477117854</v>
      </c>
      <c r="F7" s="28">
        <f xml:space="preserve"> MAX(0,MIN(SUM(C$4:C7),C7))</f>
        <v>30.346119591613522</v>
      </c>
      <c r="G7" s="28">
        <f t="shared" si="0"/>
        <v>0</v>
      </c>
      <c r="H7" s="28">
        <f t="shared" si="1"/>
        <v>0</v>
      </c>
      <c r="I7" s="28">
        <f xml:space="preserve"> MIN(0,MAX(SUM(C$4:C7),C7))</f>
        <v>0</v>
      </c>
      <c r="J7" s="83"/>
      <c r="K7" s="83"/>
      <c r="L7" s="83"/>
      <c r="M7" s="83"/>
      <c r="N7" s="83"/>
      <c r="O7" s="83"/>
      <c r="P7" s="83"/>
      <c r="Q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</row>
    <row r="8" spans="1:42" s="84" customFormat="1" ht="20.25" customHeight="1" x14ac:dyDescent="0.2">
      <c r="A8" s="83"/>
      <c r="B8" s="41" t="s">
        <v>132</v>
      </c>
      <c r="C8" s="29">
        <f>OBXValues!F14</f>
        <v>-14.666679165346604</v>
      </c>
      <c r="D8" s="29"/>
      <c r="E8" s="29">
        <f xml:space="preserve"> MAX(0,MIN(SUM(C$4:C7),SUM(C$4:C8)))+MIN(0,MAX(SUM(C$4:C7),SUM(C$4:C8)))</f>
        <v>537.28412519744541</v>
      </c>
      <c r="F8" s="28">
        <f xml:space="preserve"> MAX(0,MIN(SUM(C$4:C8),C8))</f>
        <v>0</v>
      </c>
      <c r="G8" s="28">
        <f t="shared" si="0"/>
        <v>0</v>
      </c>
      <c r="H8" s="28">
        <f t="shared" si="1"/>
        <v>14.666679165346604</v>
      </c>
      <c r="I8" s="28">
        <f xml:space="preserve"> MIN(0,MAX(SUM(C$4:C8),C8))</f>
        <v>0</v>
      </c>
      <c r="J8" s="83"/>
      <c r="K8" s="83"/>
      <c r="L8" s="83"/>
      <c r="M8" s="83"/>
      <c r="N8" s="83"/>
      <c r="O8" s="83"/>
      <c r="P8" s="83"/>
      <c r="Q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</row>
    <row r="9" spans="1:42" s="84" customFormat="1" ht="20.25" customHeight="1" x14ac:dyDescent="0.2">
      <c r="A9" s="83"/>
      <c r="B9" s="41" t="s">
        <v>139</v>
      </c>
      <c r="C9" s="29">
        <f>OBXValues!F15</f>
        <v>32.268949133223515</v>
      </c>
      <c r="D9" s="29"/>
      <c r="E9" s="29">
        <f xml:space="preserve"> MAX(0,MIN(SUM(C$4:C8),SUM(C$4:C9)))+MIN(0,MAX(SUM(C$4:C8),SUM(C$4:C9)))</f>
        <v>537.28412519744541</v>
      </c>
      <c r="F9" s="28">
        <f xml:space="preserve"> MAX(0,MIN(SUM(C$4:C9),C9))</f>
        <v>32.268949133223515</v>
      </c>
      <c r="G9" s="28">
        <f t="shared" si="0"/>
        <v>0</v>
      </c>
      <c r="H9" s="28">
        <f t="shared" si="1"/>
        <v>0</v>
      </c>
      <c r="I9" s="28">
        <f xml:space="preserve"> MIN(0,MAX(SUM(C$4:C9),C9))</f>
        <v>0</v>
      </c>
      <c r="J9" s="83"/>
      <c r="K9" s="83"/>
      <c r="L9" s="83"/>
      <c r="M9" s="83"/>
      <c r="N9" s="83"/>
      <c r="O9" s="83"/>
      <c r="P9" s="83"/>
      <c r="Q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</row>
    <row r="10" spans="1:42" s="84" customFormat="1" ht="20.25" customHeight="1" x14ac:dyDescent="0.2">
      <c r="A10" s="83"/>
      <c r="B10" s="41" t="s">
        <v>144</v>
      </c>
      <c r="C10" s="29">
        <f>OBXValues!F16</f>
        <v>13.801390816220662</v>
      </c>
      <c r="D10" s="29"/>
      <c r="E10" s="29">
        <f xml:space="preserve"> MAX(0,MIN(SUM(C$4:C9),SUM(C$4:C10)))+MIN(0,MAX(SUM(C$4:C9),SUM(C$4:C10)))</f>
        <v>569.55307433066889</v>
      </c>
      <c r="F10" s="28">
        <f xml:space="preserve"> MAX(0,MIN(SUM(C$4:C10),C10))</f>
        <v>13.801390816220662</v>
      </c>
      <c r="G10" s="28">
        <f t="shared" si="0"/>
        <v>0</v>
      </c>
      <c r="H10" s="28">
        <f t="shared" si="1"/>
        <v>0</v>
      </c>
      <c r="I10" s="28">
        <f xml:space="preserve"> MIN(0,MAX(SUM(C$4:C10),C10))</f>
        <v>0</v>
      </c>
      <c r="J10" s="83"/>
      <c r="K10" s="83"/>
      <c r="L10" s="83"/>
      <c r="M10" s="83"/>
      <c r="N10" s="83"/>
      <c r="O10" s="83"/>
      <c r="P10" s="83"/>
      <c r="Q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</row>
    <row r="11" spans="1:42" s="84" customFormat="1" ht="20.25" customHeight="1" x14ac:dyDescent="0.2">
      <c r="A11" s="83"/>
      <c r="B11" s="41" t="s">
        <v>55</v>
      </c>
      <c r="C11" s="29">
        <f>OBXValues!F17</f>
        <v>-6.2157765393274662</v>
      </c>
      <c r="D11" s="29"/>
      <c r="E11" s="29">
        <f xml:space="preserve"> MAX(0,MIN(SUM(C$4:C10),SUM(C$4:C11)))+MIN(0,MAX(SUM(C$4:C10),SUM(C$4:C11)))</f>
        <v>577.13868860756202</v>
      </c>
      <c r="F11" s="28">
        <f xml:space="preserve"> MAX(0,MIN(SUM(C$4:C11),C11))</f>
        <v>0</v>
      </c>
      <c r="G11" s="28">
        <f t="shared" si="0"/>
        <v>0</v>
      </c>
      <c r="H11" s="28">
        <f t="shared" si="1"/>
        <v>6.2157765393274662</v>
      </c>
      <c r="I11" s="28">
        <f xml:space="preserve"> MIN(0,MAX(SUM(C$4:C11),C11))</f>
        <v>0</v>
      </c>
      <c r="J11" s="83"/>
      <c r="K11" s="83"/>
      <c r="L11" s="83"/>
      <c r="M11" s="83"/>
      <c r="N11" s="83"/>
      <c r="O11" s="83"/>
      <c r="P11" s="83"/>
      <c r="Q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</row>
    <row r="12" spans="1:42" s="84" customFormat="1" ht="20.25" customHeight="1" x14ac:dyDescent="0.2">
      <c r="A12" s="83"/>
      <c r="B12" s="41" t="s">
        <v>159</v>
      </c>
      <c r="C12" s="29">
        <f>OBXValues!F18</f>
        <v>3.1034868761533616</v>
      </c>
      <c r="D12" s="29"/>
      <c r="E12" s="29">
        <f xml:space="preserve"> MAX(0,MIN(SUM(C$4:C11),SUM(C$4:C12)))+MIN(0,MAX(SUM(C$4:C11),SUM(C$4:C12)))</f>
        <v>577.13868860756202</v>
      </c>
      <c r="F12" s="28">
        <f xml:space="preserve"> MAX(0,MIN(SUM(C$4:C12),C12))</f>
        <v>3.1034868761533616</v>
      </c>
      <c r="G12" s="28">
        <f t="shared" si="0"/>
        <v>0</v>
      </c>
      <c r="H12" s="28">
        <f t="shared" si="1"/>
        <v>0</v>
      </c>
      <c r="I12" s="28">
        <f xml:space="preserve"> MIN(0,MAX(SUM(C$4:C12),C12))</f>
        <v>0</v>
      </c>
      <c r="J12" s="83"/>
      <c r="K12" s="83"/>
      <c r="L12" s="83"/>
      <c r="M12" s="83"/>
      <c r="N12" s="83"/>
      <c r="O12" s="83"/>
      <c r="P12" s="83"/>
      <c r="Q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</row>
    <row r="13" spans="1:42" s="84" customFormat="1" ht="20.25" customHeight="1" x14ac:dyDescent="0.2">
      <c r="A13" s="83"/>
      <c r="B13" s="41" t="s">
        <v>163</v>
      </c>
      <c r="C13" s="29">
        <f>OBXValues!F19</f>
        <v>-21.830990985117182</v>
      </c>
      <c r="D13" s="29"/>
      <c r="E13" s="29">
        <f xml:space="preserve"> MAX(0,MIN(SUM(C$4:C12),SUM(C$4:C13)))+MIN(0,MAX(SUM(C$4:C12),SUM(C$4:C13)))</f>
        <v>558.41118449859823</v>
      </c>
      <c r="F13" s="28">
        <f xml:space="preserve"> MAX(0,MIN(SUM(C$4:C13),C13))</f>
        <v>0</v>
      </c>
      <c r="G13" s="28">
        <f t="shared" si="0"/>
        <v>0</v>
      </c>
      <c r="H13" s="28">
        <f t="shared" si="1"/>
        <v>21.830990985117182</v>
      </c>
      <c r="I13" s="28">
        <f xml:space="preserve"> MIN(0,MAX(SUM(C$4:C13),C13))</f>
        <v>0</v>
      </c>
      <c r="J13" s="83"/>
      <c r="K13" s="83"/>
      <c r="L13" s="83"/>
      <c r="M13" s="83"/>
      <c r="N13" s="83"/>
      <c r="O13" s="83"/>
      <c r="P13" s="83"/>
      <c r="Q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</row>
    <row r="14" spans="1:42" s="84" customFormat="1" ht="20.25" customHeight="1" x14ac:dyDescent="0.2">
      <c r="A14" s="83"/>
      <c r="B14" s="41" t="s">
        <v>51</v>
      </c>
      <c r="C14" s="29"/>
      <c r="D14" s="29">
        <f>SUM(C4:C13)</f>
        <v>558.41118449859823</v>
      </c>
      <c r="E14" s="29"/>
      <c r="F14" s="28"/>
      <c r="G14" s="28"/>
      <c r="H14" s="28"/>
      <c r="I14" s="28"/>
      <c r="J14" s="83"/>
      <c r="K14" s="83"/>
      <c r="L14" s="83"/>
      <c r="M14" s="83"/>
      <c r="N14" s="83"/>
      <c r="O14" s="83"/>
      <c r="P14" s="83"/>
      <c r="Q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</row>
    <row r="15" spans="1:42" ht="11.25" customHeight="1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</row>
    <row r="16" spans="1:42" ht="11.25" customHeight="1" x14ac:dyDescent="0.2">
      <c r="A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</row>
    <row r="17" spans="1:42" ht="11.25" customHeight="1" x14ac:dyDescent="0.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</row>
    <row r="18" spans="1:42" ht="11.25" customHeight="1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</row>
    <row r="19" spans="1:42" ht="11.25" customHeight="1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</row>
    <row r="20" spans="1:42" ht="11.25" customHeight="1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</row>
    <row r="21" spans="1:42" ht="11.25" customHeight="1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</row>
    <row r="22" spans="1:42" ht="11.25" customHeight="1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</row>
    <row r="23" spans="1:42" ht="11.15" customHeight="1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</row>
    <row r="24" spans="1:42" ht="11.25" customHeight="1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</row>
    <row r="25" spans="1:42" ht="11.25" customHeight="1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</row>
    <row r="26" spans="1:42" ht="11.25" customHeight="1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</row>
    <row r="27" spans="1:42" ht="11.25" customHeight="1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</row>
    <row r="28" spans="1:42" ht="11.25" customHeight="1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</row>
    <row r="29" spans="1:42" ht="11.25" customHeight="1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</row>
    <row r="30" spans="1:42" ht="11.25" customHeight="1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</row>
    <row r="31" spans="1:42" ht="11.25" customHeight="1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</row>
    <row r="32" spans="1:42" ht="11.25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</row>
    <row r="33" spans="1:42" ht="11.25" customHeight="1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</row>
    <row r="34" spans="1:42" ht="11.25" customHeight="1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</row>
    <row r="35" spans="1:42" ht="11.25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</row>
    <row r="36" spans="1:42" ht="11.25" customHeight="1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</row>
    <row r="37" spans="1:42" ht="11.25" customHeight="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</row>
    <row r="38" spans="1:42" ht="11.25" customHeigh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</row>
    <row r="39" spans="1:42" ht="11.25" customHeight="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</row>
    <row r="40" spans="1:42" ht="11.25" customHeight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</row>
    <row r="41" spans="1:42" ht="11.25" customHeight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</row>
    <row r="42" spans="1:42" ht="11.25" customHeight="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</row>
    <row r="43" spans="1:42" ht="11.25" customHeigh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</row>
    <row r="44" spans="1:42" ht="10.5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</row>
    <row r="45" spans="1:42" ht="20.25" customHeigh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</row>
    <row r="46" spans="1:42" ht="20.25" customHeight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</row>
    <row r="47" spans="1:42" ht="20.25" customHeight="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</row>
    <row r="48" spans="1:42" ht="20.25" customHeight="1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</row>
    <row r="49" spans="1:42" ht="20.25" customHeight="1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</row>
    <row r="50" spans="1:42" ht="20.25" customHeight="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</row>
    <row r="51" spans="1:42" ht="20.25" customHeight="1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</row>
    <row r="52" spans="1:42" ht="20.25" customHeight="1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</row>
    <row r="53" spans="1:42" ht="20.25" customHeight="1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</row>
    <row r="54" spans="1:42" ht="20.25" customHeight="1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</row>
    <row r="55" spans="1:42" ht="20.25" customHeight="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</row>
    <row r="56" spans="1:42" ht="11.25" customHeight="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</row>
    <row r="57" spans="1:42" ht="11.25" customHeight="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</row>
    <row r="58" spans="1:42" ht="11.25" customHeigh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</row>
    <row r="59" spans="1:42" ht="11.25" customHeight="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</row>
    <row r="60" spans="1:42" ht="11.25" customHeight="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</row>
    <row r="61" spans="1:42" ht="11.25" customHeight="1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</row>
    <row r="62" spans="1:42" ht="11.25" customHeight="1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</row>
    <row r="63" spans="1:42" ht="11.25" customHeight="1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</row>
    <row r="64" spans="1:42" ht="11.25" customHeight="1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</row>
    <row r="65" spans="1:42" ht="11.25" customHeight="1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</row>
    <row r="66" spans="1:42" ht="11.25" customHeight="1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</row>
    <row r="67" spans="1:42" ht="9.75" customHeight="1" x14ac:dyDescent="0.2"/>
    <row r="68" spans="1:42" ht="9.75" customHeight="1" x14ac:dyDescent="0.2"/>
    <row r="69" spans="1:42" ht="9.75" customHeight="1" x14ac:dyDescent="0.2"/>
    <row r="70" spans="1:42" ht="9.75" customHeight="1" x14ac:dyDescent="0.2"/>
    <row r="71" spans="1:42" ht="9.75" customHeight="1" x14ac:dyDescent="0.2"/>
  </sheetData>
  <pageMargins left="0.70866141732283472" right="0.70866141732283472" top="0.74803149606299213" bottom="0.74803149606299213" header="0.31496062992125984" footer="0.31496062992125984"/>
  <pageSetup paperSize="9" scale="25" orientation="portrait"/>
  <headerFooter>
    <oddHeader>&amp;L&amp;"-,Regular"&amp;9&amp;K63656APage &amp;P of &amp;N&amp;C&amp;"-,Regular"&amp;9&amp;K63656A&amp;F&amp;R&amp;G</oddHeader>
    <oddFooter>&amp;LSheet: &amp;A&amp;RPrinted on &amp;D at &amp;T</oddFooter>
  </headerFooter>
  <customProperties>
    <customPr name="MMSheetType" r:id="rId1"/>
  </customPropertie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8C561"/>
    <pageSetUpPr fitToPage="1"/>
  </sheetPr>
  <dimension ref="A1:AQ71"/>
  <sheetViews>
    <sheetView showGridLines="0" topLeftCell="J1" zoomScale="80" zoomScaleNormal="80" workbookViewId="0">
      <selection activeCell="R66" sqref="R66"/>
    </sheetView>
  </sheetViews>
  <sheetFormatPr defaultColWidth="0" defaultRowHeight="12.75" customHeight="1" zeroHeight="1" x14ac:dyDescent="0.2"/>
  <cols>
    <col min="1" max="1" width="8.6640625" style="31" customWidth="1"/>
    <col min="2" max="2" width="52.6640625" style="31" bestFit="1" customWidth="1"/>
    <col min="3" max="5" width="23.33203125" style="31" customWidth="1"/>
    <col min="6" max="9" width="8.6640625" style="31" hidden="1" customWidth="1"/>
    <col min="10" max="20" width="8.6640625" style="31" customWidth="1"/>
    <col min="21" max="21" width="51.6640625" style="31" customWidth="1"/>
    <col min="22" max="22" width="9" style="31" hidden="1" customWidth="1"/>
    <col min="23" max="43" width="8.6640625" style="31" customWidth="1"/>
    <col min="44" max="44" width="8.6640625" style="31" hidden="1" customWidth="1"/>
    <col min="45" max="16384" width="8.6640625" style="31" hidden="1"/>
  </cols>
  <sheetData>
    <row r="1" spans="1:43" s="44" customFormat="1" ht="26" x14ac:dyDescent="0.2">
      <c r="A1" s="30" t="str">
        <f ca="1" xml:space="preserve"> RIGHT(CELL("filename", A1), LEN(CELL("filename", A1)) - SEARCH("]", CELL("filename", A1)))</f>
        <v>Bill impact waterfall (costs)</v>
      </c>
      <c r="B1" s="42"/>
      <c r="C1" s="49"/>
      <c r="E1" s="38" t="str">
        <f>HYPERLINK("#Contents!A1","Go to contents")</f>
        <v>Go to contents</v>
      </c>
      <c r="G1" s="34"/>
      <c r="I1" s="34"/>
    </row>
    <row r="2" spans="1:43" ht="11.25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</row>
    <row r="3" spans="1:43" ht="26" x14ac:dyDescent="0.3">
      <c r="A3" s="5"/>
      <c r="B3" s="47" t="s">
        <v>200</v>
      </c>
      <c r="C3" s="39" t="s">
        <v>202</v>
      </c>
      <c r="D3" s="39" t="s">
        <v>203</v>
      </c>
      <c r="E3" s="39" t="s">
        <v>204</v>
      </c>
      <c r="F3" s="36"/>
      <c r="G3" s="36"/>
      <c r="H3" s="36"/>
      <c r="I3" s="36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</row>
    <row r="4" spans="1:43" ht="20.25" customHeight="1" x14ac:dyDescent="0.2">
      <c r="A4" s="5"/>
      <c r="B4" s="41" t="s">
        <v>205</v>
      </c>
      <c r="C4" s="29">
        <f>OBXValues!F26</f>
        <v>472.38795616390502</v>
      </c>
      <c r="D4" s="29">
        <f>OBXValues!F26</f>
        <v>472.38795616390502</v>
      </c>
      <c r="E4" s="29"/>
      <c r="F4" s="27"/>
      <c r="G4" s="27"/>
      <c r="H4" s="27"/>
      <c r="I4" s="27"/>
      <c r="J4" s="5"/>
      <c r="K4" s="5"/>
      <c r="L4" s="5"/>
      <c r="M4" s="5"/>
      <c r="N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</row>
    <row r="5" spans="1:43" ht="20.25" customHeight="1" x14ac:dyDescent="0.2">
      <c r="A5" s="5"/>
      <c r="B5" s="41" t="s">
        <v>187</v>
      </c>
      <c r="C5" s="29">
        <f>OBXValues!F27</f>
        <v>14.585044763695262</v>
      </c>
      <c r="D5" s="29"/>
      <c r="E5" s="29">
        <f xml:space="preserve"> MAX(0,MIN(SUM(C$4:C4),SUM(C$4:C5)))+MIN(0,MAX(SUM(C$4:C4),SUM(C$4:C5)))</f>
        <v>472.38795616390502</v>
      </c>
      <c r="F5" s="28">
        <f xml:space="preserve"> MAX(0,MIN(SUM(C$4:C5),C5))</f>
        <v>14.585044763695262</v>
      </c>
      <c r="G5" s="28">
        <f t="shared" ref="G5:G17" si="0" xml:space="preserve"> -MAX(0,C5-F5)</f>
        <v>0</v>
      </c>
      <c r="H5" s="28">
        <f t="shared" ref="H5:H17" si="1" xml:space="preserve"> MAX(0,I5-C5)</f>
        <v>0</v>
      </c>
      <c r="I5" s="28">
        <f xml:space="preserve"> MIN(0,MAX(SUM(C$4:C5),C5))</f>
        <v>0</v>
      </c>
      <c r="J5" s="5"/>
      <c r="K5" s="5"/>
      <c r="L5" s="5"/>
      <c r="M5" s="5"/>
      <c r="N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</row>
    <row r="6" spans="1:43" ht="20.25" customHeight="1" x14ac:dyDescent="0.2">
      <c r="A6" s="5"/>
      <c r="B6" s="41" t="s">
        <v>188</v>
      </c>
      <c r="C6" s="29">
        <f>OBXValues!F28</f>
        <v>6.3027741590002275</v>
      </c>
      <c r="D6" s="29"/>
      <c r="E6" s="29">
        <f xml:space="preserve"> MAX(0,MIN(SUM(C$4:C5),SUM(C$4:C6)))+MIN(0,MAX(SUM(C$4:C5),SUM(C$4:C6)))</f>
        <v>486.97300092760025</v>
      </c>
      <c r="F6" s="28">
        <f xml:space="preserve"> MAX(0,MIN(SUM(C$4:C6),C6))</f>
        <v>6.3027741590002275</v>
      </c>
      <c r="G6" s="28">
        <f t="shared" si="0"/>
        <v>0</v>
      </c>
      <c r="H6" s="28">
        <f t="shared" si="1"/>
        <v>0</v>
      </c>
      <c r="I6" s="28">
        <f xml:space="preserve"> MIN(0,MAX(SUM(C$4:C6),C6))</f>
        <v>0</v>
      </c>
      <c r="J6" s="5"/>
      <c r="K6" s="5"/>
      <c r="L6" s="5"/>
      <c r="M6" s="5"/>
      <c r="N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</row>
    <row r="7" spans="1:43" ht="20.25" customHeight="1" x14ac:dyDescent="0.2">
      <c r="A7" s="5"/>
      <c r="B7" s="41" t="s">
        <v>189</v>
      </c>
      <c r="C7" s="29">
        <f>OBXValues!F29</f>
        <v>5.4929604405268506</v>
      </c>
      <c r="D7" s="29"/>
      <c r="E7" s="29">
        <f xml:space="preserve"> MAX(0,MIN(SUM(C$4:C6),SUM(C$4:C7)))+MIN(0,MAX(SUM(C$4:C6),SUM(C$4:C7)))</f>
        <v>493.2757750866005</v>
      </c>
      <c r="F7" s="28">
        <f xml:space="preserve"> MAX(0,MIN(SUM(C$4:C7),C7))</f>
        <v>5.4929604405268506</v>
      </c>
      <c r="G7" s="28">
        <f t="shared" si="0"/>
        <v>0</v>
      </c>
      <c r="H7" s="28">
        <f t="shared" si="1"/>
        <v>0</v>
      </c>
      <c r="I7" s="28">
        <f xml:space="preserve"> MIN(0,MAX(SUM(C$4:C7),C7))</f>
        <v>0</v>
      </c>
      <c r="J7" s="5"/>
      <c r="K7" s="5"/>
      <c r="L7" s="5"/>
      <c r="M7" s="5"/>
      <c r="N7" s="5"/>
      <c r="O7" s="5"/>
      <c r="P7" s="5"/>
      <c r="Q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ht="20.25" customHeight="1" x14ac:dyDescent="0.2">
      <c r="A8" s="5"/>
      <c r="B8" s="41" t="s">
        <v>190</v>
      </c>
      <c r="C8" s="29">
        <f>OBXValues!F30</f>
        <v>4.1188277844221775</v>
      </c>
      <c r="D8" s="29"/>
      <c r="E8" s="29">
        <f xml:space="preserve"> MAX(0,MIN(SUM(C$4:C7),SUM(C$4:C8)))+MIN(0,MAX(SUM(C$4:C7),SUM(C$4:C8)))</f>
        <v>498.76873552712738</v>
      </c>
      <c r="F8" s="28">
        <f xml:space="preserve"> MAX(0,MIN(SUM(C$4:C8),C8))</f>
        <v>4.1188277844221775</v>
      </c>
      <c r="G8" s="28">
        <f t="shared" si="0"/>
        <v>0</v>
      </c>
      <c r="H8" s="28">
        <f t="shared" si="1"/>
        <v>0</v>
      </c>
      <c r="I8" s="28">
        <f xml:space="preserve"> MIN(0,MAX(SUM(C$4:C8),C8))</f>
        <v>0</v>
      </c>
      <c r="J8" s="5"/>
      <c r="K8" s="5"/>
      <c r="L8" s="5"/>
      <c r="M8" s="5"/>
      <c r="N8" s="5"/>
      <c r="O8" s="5"/>
      <c r="P8" s="5"/>
      <c r="Q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ht="20.25" customHeight="1" x14ac:dyDescent="0.2">
      <c r="A9" s="5"/>
      <c r="B9" s="41" t="s">
        <v>207</v>
      </c>
      <c r="C9" s="29">
        <f>OBXValues!F31</f>
        <v>3.4805850743784061</v>
      </c>
      <c r="D9" s="29"/>
      <c r="E9" s="29">
        <f xml:space="preserve"> MAX(0,MIN(SUM(C$4:C8),SUM(C$4:C9)))+MIN(0,MAX(SUM(C$4:C8),SUM(C$4:C9)))</f>
        <v>502.88756331154957</v>
      </c>
      <c r="F9" s="28">
        <f xml:space="preserve"> MAX(0,MIN(SUM(C$4:C9),C9))</f>
        <v>3.4805850743784061</v>
      </c>
      <c r="G9" s="28">
        <f t="shared" si="0"/>
        <v>0</v>
      </c>
      <c r="H9" s="28">
        <f t="shared" si="1"/>
        <v>0</v>
      </c>
      <c r="I9" s="28">
        <f xml:space="preserve"> MIN(0,MAX(SUM(C$4:C9),C9))</f>
        <v>0</v>
      </c>
      <c r="J9" s="5"/>
      <c r="K9" s="5"/>
      <c r="L9" s="5"/>
      <c r="M9" s="5"/>
      <c r="N9" s="5"/>
      <c r="O9" s="5"/>
      <c r="P9" s="5"/>
      <c r="Q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ht="20.25" customHeight="1" x14ac:dyDescent="0.2">
      <c r="A10" s="5"/>
      <c r="B10" s="41" t="s">
        <v>192</v>
      </c>
      <c r="C10" s="29">
        <f>OBXValues!F32</f>
        <v>3.0179156537550567</v>
      </c>
      <c r="D10" s="29"/>
      <c r="E10" s="29">
        <f xml:space="preserve"> MAX(0,MIN(SUM(C$4:C9),SUM(C$4:C10)))+MIN(0,MAX(SUM(C$4:C9),SUM(C$4:C10)))</f>
        <v>506.36814838592795</v>
      </c>
      <c r="F10" s="28">
        <f xml:space="preserve"> MAX(0,MIN(SUM(C$4:C10),C10))</f>
        <v>3.0179156537550567</v>
      </c>
      <c r="G10" s="28">
        <f t="shared" si="0"/>
        <v>0</v>
      </c>
      <c r="H10" s="28">
        <f t="shared" si="1"/>
        <v>0</v>
      </c>
      <c r="I10" s="28">
        <f xml:space="preserve"> MIN(0,MAX(SUM(C$4:C10),C10))</f>
        <v>0</v>
      </c>
      <c r="J10" s="5"/>
      <c r="K10" s="5"/>
      <c r="L10" s="5"/>
      <c r="M10" s="5"/>
      <c r="N10" s="5"/>
      <c r="O10" s="5"/>
      <c r="P10" s="5"/>
      <c r="Q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ht="20.25" customHeight="1" x14ac:dyDescent="0.2">
      <c r="A11" s="5"/>
      <c r="B11" s="41" t="s">
        <v>193</v>
      </c>
      <c r="C11" s="29">
        <f>OBXValues!F33+OBXValues!F34</f>
        <v>8.1079776333249001</v>
      </c>
      <c r="D11" s="29"/>
      <c r="E11" s="29">
        <f xml:space="preserve"> MAX(0,MIN(SUM(C$4:C10),SUM(C$4:C11)))+MIN(0,MAX(SUM(C$4:C10),SUM(C$4:C11)))</f>
        <v>509.38606403968299</v>
      </c>
      <c r="F11" s="28">
        <f xml:space="preserve"> MAX(0,MIN(SUM(C$4:C11),C11))</f>
        <v>8.1079776333249001</v>
      </c>
      <c r="G11" s="28">
        <f t="shared" si="0"/>
        <v>0</v>
      </c>
      <c r="H11" s="28">
        <f t="shared" si="1"/>
        <v>0</v>
      </c>
      <c r="I11" s="28">
        <f xml:space="preserve"> MIN(0,MAX(SUM(C$4:C11),C11))</f>
        <v>0</v>
      </c>
      <c r="J11" s="5"/>
      <c r="K11" s="5"/>
      <c r="L11" s="5"/>
      <c r="M11" s="5"/>
      <c r="N11" s="5"/>
      <c r="O11" s="5"/>
      <c r="P11" s="5"/>
      <c r="Q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ht="20.25" customHeight="1" x14ac:dyDescent="0.2">
      <c r="A12" s="5"/>
      <c r="B12" s="41" t="s">
        <v>195</v>
      </c>
      <c r="C12" s="29">
        <f>OBXValues!F35</f>
        <v>19.790083524437559</v>
      </c>
      <c r="D12" s="29"/>
      <c r="E12" s="29">
        <f xml:space="preserve"> MAX(0,MIN(SUM(C$4:C11),SUM(C$4:C12)))+MIN(0,MAX(SUM(C$4:C11),SUM(C$4:C12)))</f>
        <v>517.49404167300793</v>
      </c>
      <c r="F12" s="28">
        <f xml:space="preserve"> MAX(0,MIN(SUM(C$4:C12),C12))</f>
        <v>19.790083524437559</v>
      </c>
      <c r="G12" s="28">
        <f t="shared" si="0"/>
        <v>0</v>
      </c>
      <c r="H12" s="28">
        <f t="shared" si="1"/>
        <v>0</v>
      </c>
      <c r="I12" s="28">
        <f xml:space="preserve"> MIN(0,MAX(SUM(C$4:C12),C12))</f>
        <v>0</v>
      </c>
      <c r="J12" s="5"/>
      <c r="K12" s="5"/>
      <c r="L12" s="5"/>
      <c r="M12" s="5"/>
      <c r="N12" s="5"/>
      <c r="O12" s="5"/>
      <c r="P12" s="5"/>
      <c r="Q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ht="20.25" customHeight="1" x14ac:dyDescent="0.2">
      <c r="A13" s="5"/>
      <c r="B13" s="41" t="s">
        <v>139</v>
      </c>
      <c r="C13" s="29">
        <f>OBXValues!F36</f>
        <v>32.268949133223515</v>
      </c>
      <c r="D13" s="29"/>
      <c r="E13" s="29">
        <f xml:space="preserve"> MAX(0,MIN(SUM(C$4:C12),SUM(C$4:C13)))+MIN(0,MAX(SUM(C$4:C12),SUM(C$4:C13)))</f>
        <v>537.28412519744552</v>
      </c>
      <c r="F13" s="28">
        <f xml:space="preserve"> MAX(0,MIN(SUM(C$4:C13),C13))</f>
        <v>32.268949133223515</v>
      </c>
      <c r="G13" s="28">
        <f t="shared" si="0"/>
        <v>0</v>
      </c>
      <c r="H13" s="28">
        <f t="shared" si="1"/>
        <v>0</v>
      </c>
      <c r="I13" s="28">
        <f xml:space="preserve"> MIN(0,MAX(SUM(C$4:C13),C13))</f>
        <v>0</v>
      </c>
      <c r="J13" s="5"/>
      <c r="K13" s="5"/>
      <c r="L13" s="5"/>
      <c r="M13" s="5"/>
      <c r="N13" s="5"/>
      <c r="O13" s="5"/>
      <c r="P13" s="5"/>
      <c r="Q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ht="20.25" customHeight="1" x14ac:dyDescent="0.2">
      <c r="A14" s="5"/>
      <c r="B14" s="41" t="s">
        <v>144</v>
      </c>
      <c r="C14" s="29">
        <f>OBXValues!F37</f>
        <v>13.801390816220662</v>
      </c>
      <c r="D14" s="29"/>
      <c r="E14" s="29">
        <f xml:space="preserve"> MAX(0,MIN(SUM(C$4:C13),SUM(C$4:C14)))+MIN(0,MAX(SUM(C$4:C13),SUM(C$4:C14)))</f>
        <v>569.55307433066901</v>
      </c>
      <c r="F14" s="28">
        <f xml:space="preserve"> MAX(0,MIN(SUM(C$4:C14),C14))</f>
        <v>13.801390816220662</v>
      </c>
      <c r="G14" s="28">
        <f t="shared" si="0"/>
        <v>0</v>
      </c>
      <c r="H14" s="28">
        <f t="shared" si="1"/>
        <v>0</v>
      </c>
      <c r="I14" s="28">
        <f xml:space="preserve"> MIN(0,MAX(SUM(C$4:C14),C14))</f>
        <v>0</v>
      </c>
      <c r="J14" s="5"/>
      <c r="K14" s="5"/>
      <c r="L14" s="5"/>
      <c r="M14" s="5"/>
      <c r="N14" s="5"/>
      <c r="O14" s="5"/>
      <c r="P14" s="5"/>
      <c r="Q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ht="20.25" customHeight="1" x14ac:dyDescent="0.2">
      <c r="A15" s="5"/>
      <c r="B15" s="41" t="s">
        <v>55</v>
      </c>
      <c r="C15" s="29">
        <f>OBXValues!F38</f>
        <v>-6.2157765393274662</v>
      </c>
      <c r="D15" s="29"/>
      <c r="E15" s="29">
        <f xml:space="preserve"> MAX(0,MIN(SUM(C$4:C14),SUM(C$4:C15)))+MIN(0,MAX(SUM(C$4:C14),SUM(C$4:C15)))</f>
        <v>577.13868860756213</v>
      </c>
      <c r="F15" s="28">
        <f xml:space="preserve"> MAX(0,MIN(SUM(C$4:C15),C15))</f>
        <v>0</v>
      </c>
      <c r="G15" s="28">
        <f t="shared" si="0"/>
        <v>0</v>
      </c>
      <c r="H15" s="28">
        <f t="shared" si="1"/>
        <v>6.2157765393274662</v>
      </c>
      <c r="I15" s="28">
        <f xml:space="preserve"> MIN(0,MAX(SUM(C$4:C15),C15))</f>
        <v>0</v>
      </c>
      <c r="J15" s="5"/>
      <c r="K15" s="5"/>
      <c r="L15" s="5"/>
      <c r="M15" s="5"/>
      <c r="N15" s="5"/>
      <c r="O15" s="5"/>
      <c r="P15" s="5"/>
      <c r="Q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ht="20.25" customHeight="1" x14ac:dyDescent="0.2">
      <c r="A16" s="5"/>
      <c r="B16" s="41" t="s">
        <v>159</v>
      </c>
      <c r="C16" s="29">
        <f>OBXValues!F39</f>
        <v>3.1034868761533616</v>
      </c>
      <c r="D16" s="29"/>
      <c r="E16" s="29">
        <f xml:space="preserve"> MAX(0,MIN(SUM(C$4:C15),SUM(C$4:C16)))+MIN(0,MAX(SUM(C$4:C15),SUM(C$4:C16)))</f>
        <v>577.13868860756213</v>
      </c>
      <c r="F16" s="28">
        <f xml:space="preserve"> MAX(0,MIN(SUM(C$4:C16),C16))</f>
        <v>3.1034868761533616</v>
      </c>
      <c r="G16" s="28">
        <f t="shared" si="0"/>
        <v>0</v>
      </c>
      <c r="H16" s="28">
        <f t="shared" si="1"/>
        <v>0</v>
      </c>
      <c r="I16" s="28">
        <f xml:space="preserve"> MIN(0,MAX(SUM(C$4:C16),C16))</f>
        <v>0</v>
      </c>
      <c r="J16" s="5"/>
      <c r="K16" s="5"/>
      <c r="L16" s="5"/>
      <c r="M16" s="5"/>
      <c r="N16" s="5"/>
      <c r="O16" s="5"/>
      <c r="P16" s="5"/>
      <c r="Q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ht="20.25" customHeight="1" x14ac:dyDescent="0.2">
      <c r="A17" s="5"/>
      <c r="B17" s="41" t="s">
        <v>163</v>
      </c>
      <c r="C17" s="29">
        <f>OBXValues!F40</f>
        <v>-21.830990985117182</v>
      </c>
      <c r="D17" s="29"/>
      <c r="E17" s="29">
        <f xml:space="preserve"> MAX(0,MIN(SUM(C$4:C16),SUM(C$4:C17)))+MIN(0,MAX(SUM(C$4:C16),SUM(C$4:C17)))</f>
        <v>558.41118449859835</v>
      </c>
      <c r="F17" s="28">
        <f xml:space="preserve"> MAX(0,MIN(SUM(C$4:C17),C17))</f>
        <v>0</v>
      </c>
      <c r="G17" s="28">
        <f t="shared" si="0"/>
        <v>0</v>
      </c>
      <c r="H17" s="28">
        <f t="shared" si="1"/>
        <v>21.830990985117182</v>
      </c>
      <c r="I17" s="28">
        <f xml:space="preserve"> MIN(0,MAX(SUM(C$4:C17),C17))</f>
        <v>0</v>
      </c>
      <c r="J17" s="5"/>
      <c r="K17" s="5"/>
      <c r="L17" s="5"/>
      <c r="M17" s="5"/>
      <c r="N17" s="5"/>
      <c r="O17" s="5"/>
      <c r="P17" s="5"/>
      <c r="Q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ht="20.25" customHeight="1" x14ac:dyDescent="0.2">
      <c r="A18" s="5"/>
      <c r="B18" s="41" t="s">
        <v>51</v>
      </c>
      <c r="C18" s="29"/>
      <c r="D18" s="29">
        <f>SUM(C4:C17)</f>
        <v>558.41118449859835</v>
      </c>
      <c r="E18" s="29"/>
      <c r="F18" s="28"/>
      <c r="G18" s="28"/>
      <c r="H18" s="28"/>
      <c r="I18" s="28"/>
      <c r="J18" s="5"/>
      <c r="K18" s="5"/>
      <c r="L18" s="5"/>
      <c r="M18" s="5"/>
      <c r="N18" s="5"/>
      <c r="O18" s="5"/>
      <c r="P18" s="5"/>
      <c r="Q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ht="11.25" customHeight="1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ht="11.25" customHeight="1" x14ac:dyDescent="0.2">
      <c r="A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ht="11.25" customHeight="1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ht="11.25" customHeight="1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ht="11.25" customHeight="1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ht="11.25" customHeight="1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ht="11.25" customHeight="1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ht="11.25" customHeight="1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ht="11.15" customHeight="1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ht="11.25" customHeight="1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ht="11.25" customHeight="1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ht="11.25" customHeight="1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ht="11.25" customHeight="1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ht="11.25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ht="11.25" customHeight="1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ht="11.25" customHeight="1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ht="11.25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ht="11.25" customHeight="1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ht="11.25" customHeight="1" x14ac:dyDescent="0.2">
      <c r="A37" s="5"/>
      <c r="B37" s="5"/>
      <c r="C37" s="12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ht="11.25" customHeight="1" x14ac:dyDescent="0.2">
      <c r="A38" s="5"/>
      <c r="B38" s="5"/>
      <c r="C38" s="120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</row>
    <row r="39" spans="1:43" ht="11.25" customHeight="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</row>
    <row r="40" spans="1:43" ht="11.25" customHeight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</row>
    <row r="41" spans="1:43" ht="11.25" customHeight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</row>
    <row r="42" spans="1:43" ht="11.25" customHeight="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</row>
    <row r="43" spans="1:43" ht="11.25" customHeigh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</row>
    <row r="44" spans="1:43" ht="11.25" customHeigh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</row>
    <row r="45" spans="1:43" ht="11.25" customHeigh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</row>
    <row r="46" spans="1:43" ht="11.25" customHeight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</row>
    <row r="47" spans="1:43" ht="11.25" customHeight="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</row>
    <row r="48" spans="1:43" ht="11.25" customHeight="1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</row>
    <row r="49" spans="1:43" ht="11.25" customHeight="1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</row>
    <row r="50" spans="1:43" ht="11.25" customHeight="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</row>
    <row r="51" spans="1:43" ht="11.25" customHeight="1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</row>
    <row r="52" spans="1:43" ht="11.25" customHeight="1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</row>
    <row r="53" spans="1:43" ht="11.25" customHeight="1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</row>
    <row r="54" spans="1:43" ht="11.25" customHeight="1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</row>
    <row r="55" spans="1:43" ht="11.25" customHeight="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</row>
    <row r="56" spans="1:43" ht="11.25" customHeight="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</row>
    <row r="57" spans="1:43" ht="11.25" customHeight="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</row>
    <row r="58" spans="1:43" ht="11.25" customHeigh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</row>
    <row r="59" spans="1:43" ht="11.25" customHeight="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</row>
    <row r="60" spans="1:43" ht="11.25" customHeight="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</row>
    <row r="61" spans="1:43" ht="11.25" customHeight="1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</row>
    <row r="62" spans="1:43" ht="11.25" customHeight="1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</row>
    <row r="63" spans="1:43" ht="11.25" customHeight="1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</row>
    <row r="64" spans="1:43" ht="11.25" customHeight="1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</row>
    <row r="65" spans="1:43" ht="11.25" customHeight="1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</row>
    <row r="66" spans="1:43" ht="11.25" customHeight="1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</row>
    <row r="67" spans="1:43" ht="11.25" customHeight="1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</row>
    <row r="68" spans="1:43" ht="11.25" customHeight="1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</row>
    <row r="69" spans="1:43" ht="11.25" customHeight="1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</row>
    <row r="70" spans="1:43" ht="11.25" customHeight="1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</row>
    <row r="71" spans="1:43" ht="9.75" customHeight="1" x14ac:dyDescent="0.2"/>
  </sheetData>
  <pageMargins left="0.70866141732283472" right="0.70866141732283472" top="0.74803149606299213" bottom="0.74803149606299213" header="0.31496062992125984" footer="0.31496062992125984"/>
  <pageSetup paperSize="9" scale="25" orientation="portrait"/>
  <headerFooter>
    <oddHeader>&amp;L&amp;"-,Regular"&amp;9&amp;K63656APage &amp;P of &amp;N&amp;C&amp;"-,Regular"&amp;9&amp;K63656A&amp;F&amp;R&amp;G</oddHeader>
    <oddFooter>&amp;LSheet: &amp;A&amp;RPrinted on &amp;D at &amp;T</oddFooter>
  </headerFooter>
  <customProperties>
    <customPr name="MMSheetType" r:id="rId1"/>
  </customPropertie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197"/>
  <sheetViews>
    <sheetView showGridLines="0" workbookViewId="0"/>
  </sheetViews>
  <sheetFormatPr defaultColWidth="0" defaultRowHeight="10.5" x14ac:dyDescent="0.2"/>
  <cols>
    <col min="1" max="1" width="49.6640625" style="31" bestFit="1" customWidth="1"/>
    <col min="2" max="2" width="17.33203125" style="31" bestFit="1" customWidth="1"/>
    <col min="3" max="3" width="10.33203125" style="31" bestFit="1" customWidth="1"/>
    <col min="4" max="4" width="10.44140625" style="31" bestFit="1" customWidth="1"/>
    <col min="5" max="5" width="14.44140625" style="31" bestFit="1" customWidth="1"/>
    <col min="6" max="6" width="21.109375" style="31" bestFit="1" customWidth="1"/>
    <col min="7" max="7" width="17.44140625" style="31" bestFit="1" customWidth="1"/>
    <col min="8" max="8" width="14.33203125" style="31" bestFit="1" customWidth="1"/>
    <col min="9" max="9" width="17.6640625" style="31" bestFit="1" customWidth="1"/>
    <col min="10" max="10" width="51.6640625" style="31" bestFit="1" customWidth="1"/>
    <col min="11" max="12" width="13" style="31" bestFit="1" customWidth="1"/>
    <col min="13" max="13" width="9.109375" style="31" hidden="1" customWidth="1"/>
    <col min="14" max="16384" width="9.109375" style="31" hidden="1"/>
  </cols>
  <sheetData>
    <row r="1" spans="1:12" x14ac:dyDescent="0.2">
      <c r="A1" s="31" t="s">
        <v>208</v>
      </c>
      <c r="B1" s="31" t="s">
        <v>209</v>
      </c>
      <c r="C1" s="31" t="s">
        <v>210</v>
      </c>
      <c r="D1" s="31" t="s">
        <v>211</v>
      </c>
      <c r="E1" s="31" t="s">
        <v>212</v>
      </c>
      <c r="F1" s="31" t="s">
        <v>213</v>
      </c>
      <c r="G1" s="31" t="s">
        <v>214</v>
      </c>
      <c r="H1" s="31" t="s">
        <v>215</v>
      </c>
      <c r="I1" s="31" t="s">
        <v>216</v>
      </c>
      <c r="J1" s="31" t="s">
        <v>217</v>
      </c>
      <c r="K1" s="31" t="s">
        <v>218</v>
      </c>
      <c r="L1" s="31" t="s">
        <v>219</v>
      </c>
    </row>
    <row r="2" spans="1:12" x14ac:dyDescent="0.2">
      <c r="A2" s="31" t="s">
        <v>24</v>
      </c>
      <c r="C2" s="31">
        <v>0</v>
      </c>
      <c r="D2" s="81">
        <v>44286</v>
      </c>
      <c r="E2" s="81">
        <f>InpS!$F$10</f>
        <v>43922</v>
      </c>
      <c r="I2" s="31">
        <v>0</v>
      </c>
      <c r="J2" s="31" t="s">
        <v>220</v>
      </c>
    </row>
    <row r="3" spans="1:12" x14ac:dyDescent="0.2">
      <c r="A3" s="31" t="s">
        <v>26</v>
      </c>
      <c r="C3" s="31">
        <v>0</v>
      </c>
      <c r="D3" s="81">
        <v>44286</v>
      </c>
      <c r="G3" s="31">
        <f>InpS!$F$11</f>
        <v>3</v>
      </c>
      <c r="I3" s="31">
        <v>0</v>
      </c>
      <c r="J3" s="31" t="s">
        <v>221</v>
      </c>
    </row>
    <row r="4" spans="1:12" x14ac:dyDescent="0.2">
      <c r="A4" s="31" t="s">
        <v>28</v>
      </c>
      <c r="C4" s="31">
        <v>0</v>
      </c>
      <c r="D4" s="81">
        <v>44286</v>
      </c>
      <c r="G4" s="31">
        <f>InpS!$F$15</f>
        <v>1037.5756544096971</v>
      </c>
      <c r="I4" s="31">
        <v>0</v>
      </c>
      <c r="J4" s="31" t="s">
        <v>222</v>
      </c>
    </row>
    <row r="5" spans="1:12" x14ac:dyDescent="0.2">
      <c r="A5" s="31" t="s">
        <v>30</v>
      </c>
      <c r="C5" s="31">
        <v>0</v>
      </c>
      <c r="D5" s="81">
        <v>44286</v>
      </c>
      <c r="G5" s="31">
        <f>InpS!$F$16</f>
        <v>1743.169925846719</v>
      </c>
      <c r="I5" s="31">
        <v>0</v>
      </c>
      <c r="J5" s="31" t="s">
        <v>223</v>
      </c>
    </row>
    <row r="6" spans="1:12" x14ac:dyDescent="0.2">
      <c r="A6" s="31" t="s">
        <v>31</v>
      </c>
      <c r="C6" s="31">
        <v>0</v>
      </c>
      <c r="D6" s="81">
        <v>44286</v>
      </c>
      <c r="G6" s="31">
        <f>InpS!$F$17</f>
        <v>529.58998928332221</v>
      </c>
      <c r="I6" s="31">
        <v>0</v>
      </c>
      <c r="J6" s="31" t="s">
        <v>224</v>
      </c>
    </row>
    <row r="7" spans="1:12" x14ac:dyDescent="0.2">
      <c r="A7" s="31" t="s">
        <v>32</v>
      </c>
      <c r="C7" s="31">
        <v>0</v>
      </c>
      <c r="D7" s="81">
        <v>44286</v>
      </c>
      <c r="G7" s="31">
        <f>InpS!$F$18</f>
        <v>780.24466744628114</v>
      </c>
      <c r="I7" s="31">
        <v>0</v>
      </c>
      <c r="J7" s="31" t="s">
        <v>225</v>
      </c>
    </row>
    <row r="8" spans="1:12" x14ac:dyDescent="0.2">
      <c r="A8" s="31" t="s">
        <v>33</v>
      </c>
      <c r="C8" s="31">
        <v>0</v>
      </c>
      <c r="D8" s="81">
        <v>44286</v>
      </c>
      <c r="G8" s="31">
        <f>InpS!$F$19</f>
        <v>1182.7736697319526</v>
      </c>
      <c r="I8" s="31">
        <v>0</v>
      </c>
      <c r="J8" s="31" t="s">
        <v>226</v>
      </c>
    </row>
    <row r="9" spans="1:12" x14ac:dyDescent="0.2">
      <c r="A9" s="31" t="s">
        <v>34</v>
      </c>
      <c r="C9" s="31">
        <v>0</v>
      </c>
      <c r="D9" s="81">
        <v>44286</v>
      </c>
      <c r="G9" s="31">
        <f>InpS!$F$20</f>
        <v>1726.3024956347729</v>
      </c>
      <c r="I9" s="31">
        <v>0</v>
      </c>
      <c r="J9" s="31" t="s">
        <v>227</v>
      </c>
    </row>
    <row r="10" spans="1:12" x14ac:dyDescent="0.2">
      <c r="A10" s="31" t="s">
        <v>36</v>
      </c>
      <c r="C10" s="31">
        <v>0</v>
      </c>
      <c r="D10" s="81">
        <v>44286</v>
      </c>
      <c r="G10" s="31">
        <f>InpS!$F$24</f>
        <v>380.29894017961021</v>
      </c>
      <c r="I10" s="31">
        <v>0</v>
      </c>
      <c r="J10" s="31" t="s">
        <v>228</v>
      </c>
    </row>
    <row r="11" spans="1:12" x14ac:dyDescent="0.2">
      <c r="A11" s="31" t="s">
        <v>37</v>
      </c>
      <c r="C11" s="31">
        <v>0</v>
      </c>
      <c r="D11" s="81">
        <v>44286</v>
      </c>
      <c r="G11" s="31">
        <f>InpS!$F$25</f>
        <v>498.37121209367302</v>
      </c>
      <c r="I11" s="31">
        <v>0</v>
      </c>
      <c r="J11" s="31" t="s">
        <v>229</v>
      </c>
    </row>
    <row r="12" spans="1:12" x14ac:dyDescent="0.2">
      <c r="A12" s="31" t="s">
        <v>38</v>
      </c>
      <c r="C12" s="31">
        <v>0</v>
      </c>
      <c r="D12" s="81">
        <v>44286</v>
      </c>
      <c r="G12" s="31">
        <f>InpS!$F$26</f>
        <v>8023.2075997205802</v>
      </c>
      <c r="I12" s="31">
        <v>0</v>
      </c>
      <c r="J12" s="31" t="s">
        <v>230</v>
      </c>
    </row>
    <row r="13" spans="1:12" x14ac:dyDescent="0.2">
      <c r="A13" s="31" t="s">
        <v>39</v>
      </c>
      <c r="C13" s="31">
        <v>0</v>
      </c>
      <c r="D13" s="81">
        <v>44286</v>
      </c>
      <c r="G13" s="31">
        <f>InpS!$F$27</f>
        <v>11488.629221568635</v>
      </c>
      <c r="I13" s="31">
        <v>0</v>
      </c>
      <c r="J13" s="31" t="s">
        <v>231</v>
      </c>
    </row>
    <row r="14" spans="1:12" x14ac:dyDescent="0.2">
      <c r="A14" s="31" t="s">
        <v>41</v>
      </c>
      <c r="C14" s="31">
        <v>0</v>
      </c>
      <c r="D14" s="81">
        <v>44286</v>
      </c>
      <c r="G14" s="31">
        <f>InpS!$F$31</f>
        <v>104.21666666666665</v>
      </c>
      <c r="I14" s="31">
        <v>0</v>
      </c>
      <c r="J14" s="31" t="s">
        <v>232</v>
      </c>
    </row>
    <row r="15" spans="1:12" x14ac:dyDescent="0.2">
      <c r="A15" s="31" t="s">
        <v>43</v>
      </c>
      <c r="C15" s="31">
        <v>0</v>
      </c>
      <c r="D15" s="81">
        <v>44286</v>
      </c>
      <c r="G15" s="31">
        <f>InpS!$F$32</f>
        <v>123.04166666666664</v>
      </c>
      <c r="I15" s="31">
        <v>0</v>
      </c>
      <c r="J15" s="31" t="s">
        <v>233</v>
      </c>
    </row>
    <row r="16" spans="1:12" x14ac:dyDescent="0.2">
      <c r="A16" s="31" t="s">
        <v>44</v>
      </c>
      <c r="C16" s="31">
        <v>0</v>
      </c>
      <c r="D16" s="81">
        <v>44286</v>
      </c>
      <c r="G16" s="31">
        <f>InpS!$F$33</f>
        <v>1653.0129089041025</v>
      </c>
      <c r="I16" s="31">
        <v>0</v>
      </c>
      <c r="J16" s="31" t="s">
        <v>234</v>
      </c>
    </row>
    <row r="17" spans="1:10" x14ac:dyDescent="0.2">
      <c r="A17" s="31" t="s">
        <v>45</v>
      </c>
      <c r="C17" s="31">
        <v>0</v>
      </c>
      <c r="D17" s="81">
        <v>44286</v>
      </c>
      <c r="G17" s="31">
        <f>InpS!$F$34</f>
        <v>1182.7736697319526</v>
      </c>
      <c r="I17" s="31">
        <v>0</v>
      </c>
      <c r="J17" s="31" t="s">
        <v>235</v>
      </c>
    </row>
    <row r="18" spans="1:10" x14ac:dyDescent="0.2">
      <c r="A18" s="31" t="s">
        <v>46</v>
      </c>
      <c r="C18" s="31">
        <v>0</v>
      </c>
      <c r="D18" s="81">
        <v>44286</v>
      </c>
      <c r="G18" s="31">
        <f>InpS!$F$35</f>
        <v>1726.3024956347729</v>
      </c>
      <c r="I18" s="31">
        <v>0</v>
      </c>
      <c r="J18" s="31" t="s">
        <v>236</v>
      </c>
    </row>
    <row r="19" spans="1:10" x14ac:dyDescent="0.2">
      <c r="A19" s="31" t="s">
        <v>47</v>
      </c>
      <c r="C19" s="31">
        <v>0</v>
      </c>
      <c r="D19" s="81">
        <v>44286</v>
      </c>
      <c r="G19" s="31">
        <f>InpS!$F$36</f>
        <v>217.27059028145726</v>
      </c>
      <c r="I19" s="31">
        <v>0</v>
      </c>
      <c r="J19" s="31" t="s">
        <v>237</v>
      </c>
    </row>
    <row r="20" spans="1:10" x14ac:dyDescent="0.2">
      <c r="A20" s="31" t="s">
        <v>48</v>
      </c>
      <c r="C20" s="31">
        <v>0</v>
      </c>
      <c r="D20" s="81">
        <v>44286</v>
      </c>
      <c r="G20" s="31">
        <f>InpS!$F$37</f>
        <v>358.13811768387228</v>
      </c>
      <c r="I20" s="31">
        <v>0</v>
      </c>
      <c r="J20" s="31" t="s">
        <v>238</v>
      </c>
    </row>
    <row r="21" spans="1:10" x14ac:dyDescent="0.2">
      <c r="A21" s="31" t="s">
        <v>49</v>
      </c>
      <c r="C21" s="31">
        <v>0</v>
      </c>
      <c r="D21" s="81">
        <v>44286</v>
      </c>
      <c r="G21" s="31">
        <f>InpS!$F$38</f>
        <v>472.38795616390502</v>
      </c>
      <c r="I21" s="31">
        <v>0</v>
      </c>
      <c r="J21" s="31" t="s">
        <v>239</v>
      </c>
    </row>
    <row r="22" spans="1:10" x14ac:dyDescent="0.2">
      <c r="A22" s="31" t="s">
        <v>51</v>
      </c>
      <c r="C22" s="31">
        <v>0</v>
      </c>
      <c r="D22" s="81">
        <v>44286</v>
      </c>
      <c r="G22" s="31">
        <f>InpS!$F$39</f>
        <v>558.41118449859835</v>
      </c>
      <c r="I22" s="31">
        <v>0</v>
      </c>
      <c r="J22" s="31" t="s">
        <v>240</v>
      </c>
    </row>
    <row r="23" spans="1:10" x14ac:dyDescent="0.2">
      <c r="A23" s="31" t="s">
        <v>53</v>
      </c>
      <c r="C23" s="31">
        <v>0</v>
      </c>
      <c r="D23" s="81">
        <v>44286</v>
      </c>
      <c r="G23" s="31">
        <f>InpS!$F$43</f>
        <v>5.193618498618858</v>
      </c>
      <c r="I23" s="31">
        <v>0</v>
      </c>
      <c r="J23" s="31" t="s">
        <v>241</v>
      </c>
    </row>
    <row r="24" spans="1:10" x14ac:dyDescent="0.2">
      <c r="A24" s="31" t="s">
        <v>54</v>
      </c>
      <c r="C24" s="31">
        <v>0</v>
      </c>
      <c r="D24" s="81">
        <v>44286</v>
      </c>
      <c r="G24" s="31">
        <f>InpS!$F$44</f>
        <v>49.595034705001524</v>
      </c>
      <c r="I24" s="31">
        <v>0</v>
      </c>
      <c r="J24" s="31" t="s">
        <v>242</v>
      </c>
    </row>
    <row r="25" spans="1:10" x14ac:dyDescent="0.2">
      <c r="A25" s="31" t="s">
        <v>56</v>
      </c>
      <c r="C25" s="31">
        <v>0</v>
      </c>
      <c r="D25" s="81">
        <v>44286</v>
      </c>
      <c r="G25" s="31">
        <f>InpS!$F$48</f>
        <v>14.006634664877032</v>
      </c>
      <c r="I25" s="31">
        <v>0</v>
      </c>
      <c r="J25" s="31" t="s">
        <v>243</v>
      </c>
    </row>
    <row r="26" spans="1:10" x14ac:dyDescent="0.2">
      <c r="A26" s="31" t="s">
        <v>57</v>
      </c>
      <c r="C26" s="31">
        <v>0</v>
      </c>
      <c r="D26" s="81">
        <v>44286</v>
      </c>
      <c r="G26" s="31">
        <f>InpS!$F$49</f>
        <v>0</v>
      </c>
      <c r="I26" s="31">
        <v>0</v>
      </c>
      <c r="J26" s="31" t="s">
        <v>244</v>
      </c>
    </row>
    <row r="27" spans="1:10" x14ac:dyDescent="0.2">
      <c r="A27" s="31" t="s">
        <v>58</v>
      </c>
      <c r="C27" s="31">
        <v>0</v>
      </c>
      <c r="D27" s="81">
        <v>44286</v>
      </c>
      <c r="G27" s="31">
        <f>InpS!$F$50</f>
        <v>0.96745278201202001</v>
      </c>
      <c r="I27" s="31">
        <v>0</v>
      </c>
      <c r="J27" s="31" t="s">
        <v>245</v>
      </c>
    </row>
    <row r="28" spans="1:10" x14ac:dyDescent="0.2">
      <c r="A28" s="31" t="s">
        <v>59</v>
      </c>
      <c r="C28" s="31">
        <v>0</v>
      </c>
      <c r="D28" s="81">
        <v>44286</v>
      </c>
      <c r="G28" s="31">
        <f>InpS!$F$51</f>
        <v>8.895676975274494</v>
      </c>
      <c r="I28" s="31">
        <v>0</v>
      </c>
      <c r="J28" s="31" t="s">
        <v>246</v>
      </c>
    </row>
    <row r="29" spans="1:10" x14ac:dyDescent="0.2">
      <c r="A29" s="31" t="s">
        <v>60</v>
      </c>
      <c r="C29" s="31">
        <v>0</v>
      </c>
      <c r="D29" s="81">
        <v>44286</v>
      </c>
      <c r="G29" s="31">
        <f>InpS!$F$52</f>
        <v>1.5911642686464873</v>
      </c>
      <c r="I29" s="31">
        <v>0</v>
      </c>
      <c r="J29" s="31" t="s">
        <v>247</v>
      </c>
    </row>
    <row r="30" spans="1:10" x14ac:dyDescent="0.2">
      <c r="A30" s="31" t="s">
        <v>61</v>
      </c>
      <c r="C30" s="31">
        <v>0</v>
      </c>
      <c r="D30" s="81">
        <v>44286</v>
      </c>
      <c r="G30" s="31">
        <f>InpS!$F$53</f>
        <v>0</v>
      </c>
      <c r="I30" s="31">
        <v>0</v>
      </c>
      <c r="J30" s="31" t="s">
        <v>248</v>
      </c>
    </row>
    <row r="31" spans="1:10" x14ac:dyDescent="0.2">
      <c r="A31" s="31" t="s">
        <v>63</v>
      </c>
      <c r="C31" s="31">
        <v>0</v>
      </c>
      <c r="D31" s="81">
        <v>44286</v>
      </c>
      <c r="F31" s="82">
        <f>InpS!$F$57</f>
        <v>0.80203698186810568</v>
      </c>
      <c r="I31" s="31">
        <v>0</v>
      </c>
      <c r="J31" s="31" t="s">
        <v>249</v>
      </c>
    </row>
    <row r="32" spans="1:10" x14ac:dyDescent="0.2">
      <c r="A32" s="31" t="s">
        <v>65</v>
      </c>
      <c r="C32" s="31">
        <v>0</v>
      </c>
      <c r="D32" s="81">
        <v>44286</v>
      </c>
      <c r="F32" s="82">
        <f>InpS!$F$58</f>
        <v>0.84244629590802944</v>
      </c>
      <c r="I32" s="31">
        <v>0</v>
      </c>
      <c r="J32" s="31" t="s">
        <v>250</v>
      </c>
    </row>
    <row r="33" spans="1:10" x14ac:dyDescent="0.2">
      <c r="A33" s="31" t="s">
        <v>66</v>
      </c>
      <c r="C33" s="31">
        <v>0</v>
      </c>
      <c r="D33" s="81">
        <v>44286</v>
      </c>
      <c r="G33" s="31">
        <f>InpS!$F$59</f>
        <v>1979.633620276785</v>
      </c>
      <c r="I33" s="31">
        <v>0</v>
      </c>
      <c r="J33" s="31" t="s">
        <v>251</v>
      </c>
    </row>
    <row r="34" spans="1:10" x14ac:dyDescent="0.2">
      <c r="A34" s="31" t="s">
        <v>68</v>
      </c>
      <c r="C34" s="31">
        <v>0</v>
      </c>
      <c r="D34" s="81">
        <v>44286</v>
      </c>
      <c r="G34" s="31">
        <f>InpS!$F$60</f>
        <v>420.73263879322514</v>
      </c>
      <c r="I34" s="31">
        <v>0</v>
      </c>
      <c r="J34" s="31" t="s">
        <v>252</v>
      </c>
    </row>
    <row r="35" spans="1:10" x14ac:dyDescent="0.2">
      <c r="A35" s="31" t="s">
        <v>69</v>
      </c>
      <c r="C35" s="31">
        <v>0</v>
      </c>
      <c r="D35" s="81">
        <v>44286</v>
      </c>
      <c r="G35" s="31">
        <f>InpS!$F$61</f>
        <v>2248.4354366091711</v>
      </c>
      <c r="I35" s="31">
        <v>0</v>
      </c>
      <c r="J35" s="31" t="s">
        <v>253</v>
      </c>
    </row>
    <row r="36" spans="1:10" x14ac:dyDescent="0.2">
      <c r="A36" s="31" t="s">
        <v>70</v>
      </c>
      <c r="C36" s="31">
        <v>0</v>
      </c>
      <c r="D36" s="81">
        <v>44286</v>
      </c>
      <c r="G36" s="31">
        <f>InpS!$F$62</f>
        <v>376.62693609616639</v>
      </c>
      <c r="I36" s="31">
        <v>0</v>
      </c>
      <c r="J36" s="31" t="s">
        <v>254</v>
      </c>
    </row>
    <row r="37" spans="1:10" x14ac:dyDescent="0.2">
      <c r="A37" s="31" t="s">
        <v>72</v>
      </c>
      <c r="C37" s="31">
        <v>0</v>
      </c>
      <c r="D37" s="81">
        <v>44286</v>
      </c>
      <c r="G37" s="31">
        <f>InpS!$F$66</f>
        <v>59.566750491040942</v>
      </c>
      <c r="I37" s="31">
        <v>0</v>
      </c>
      <c r="J37" s="31" t="s">
        <v>255</v>
      </c>
    </row>
    <row r="38" spans="1:10" x14ac:dyDescent="0.2">
      <c r="A38" s="31" t="s">
        <v>73</v>
      </c>
      <c r="C38" s="31">
        <v>0</v>
      </c>
      <c r="D38" s="81">
        <v>44286</v>
      </c>
      <c r="G38" s="31">
        <f>InpS!$F$67</f>
        <v>73.289586730670408</v>
      </c>
      <c r="I38" s="31">
        <v>0</v>
      </c>
      <c r="J38" s="31" t="s">
        <v>256</v>
      </c>
    </row>
    <row r="39" spans="1:10" x14ac:dyDescent="0.2">
      <c r="A39" s="31" t="s">
        <v>75</v>
      </c>
      <c r="C39" s="31">
        <v>0</v>
      </c>
      <c r="D39" s="81">
        <v>44286</v>
      </c>
      <c r="G39" s="31">
        <f>InpS!$F$71</f>
        <v>3383.3283627519231</v>
      </c>
      <c r="I39" s="31">
        <v>0</v>
      </c>
      <c r="J39" s="31" t="s">
        <v>257</v>
      </c>
    </row>
    <row r="40" spans="1:10" x14ac:dyDescent="0.2">
      <c r="A40" s="31" t="s">
        <v>76</v>
      </c>
      <c r="C40" s="31">
        <v>0</v>
      </c>
      <c r="D40" s="81">
        <v>44286</v>
      </c>
      <c r="G40" s="31">
        <f>InpS!$F$72</f>
        <v>4621.0774468957752</v>
      </c>
      <c r="I40" s="31">
        <v>0</v>
      </c>
      <c r="J40" s="31" t="s">
        <v>258</v>
      </c>
    </row>
    <row r="41" spans="1:10" x14ac:dyDescent="0.2">
      <c r="A41" s="31" t="s">
        <v>77</v>
      </c>
      <c r="C41" s="31">
        <v>0</v>
      </c>
      <c r="D41" s="81">
        <v>44286</v>
      </c>
      <c r="G41" s="31">
        <f>InpS!$F$73</f>
        <v>202.65905094388188</v>
      </c>
      <c r="I41" s="31">
        <v>0</v>
      </c>
      <c r="J41" s="31" t="s">
        <v>259</v>
      </c>
    </row>
    <row r="42" spans="1:10" x14ac:dyDescent="0.2">
      <c r="A42" s="31" t="s">
        <v>78</v>
      </c>
      <c r="C42" s="31">
        <v>0</v>
      </c>
      <c r="D42" s="81">
        <v>44286</v>
      </c>
      <c r="G42" s="31">
        <f>InpS!$F$74</f>
        <v>510.04781067676237</v>
      </c>
      <c r="I42" s="31">
        <v>0</v>
      </c>
      <c r="J42" s="31" t="s">
        <v>260</v>
      </c>
    </row>
    <row r="43" spans="1:10" x14ac:dyDescent="0.2">
      <c r="A43" s="31" t="s">
        <v>79</v>
      </c>
      <c r="C43" s="31">
        <v>0</v>
      </c>
      <c r="D43" s="81">
        <v>44286</v>
      </c>
      <c r="G43" s="31">
        <f>InpS!$F$75</f>
        <v>424.18457053875591</v>
      </c>
      <c r="I43" s="31">
        <v>0</v>
      </c>
      <c r="J43" s="31" t="s">
        <v>261</v>
      </c>
    </row>
    <row r="44" spans="1:10" x14ac:dyDescent="0.2">
      <c r="A44" s="31" t="s">
        <v>80</v>
      </c>
      <c r="C44" s="31">
        <v>0</v>
      </c>
      <c r="D44" s="81">
        <v>44286</v>
      </c>
      <c r="G44" s="31">
        <f>InpS!$F$76</f>
        <v>736.79674057391276</v>
      </c>
      <c r="I44" s="31">
        <v>0</v>
      </c>
      <c r="J44" s="31" t="s">
        <v>262</v>
      </c>
    </row>
    <row r="45" spans="1:10" x14ac:dyDescent="0.2">
      <c r="A45" s="31" t="s">
        <v>81</v>
      </c>
      <c r="C45" s="31">
        <v>0</v>
      </c>
      <c r="D45" s="81">
        <v>44286</v>
      </c>
      <c r="G45" s="31">
        <f>InpS!$F$77</f>
        <v>46.557253534674892</v>
      </c>
      <c r="I45" s="31">
        <v>0</v>
      </c>
      <c r="J45" s="31" t="s">
        <v>263</v>
      </c>
    </row>
    <row r="46" spans="1:10" x14ac:dyDescent="0.2">
      <c r="A46" s="31" t="s">
        <v>82</v>
      </c>
      <c r="C46" s="31">
        <v>0</v>
      </c>
      <c r="D46" s="81">
        <v>44286</v>
      </c>
      <c r="G46" s="31">
        <f>InpS!$F$78</f>
        <v>231.92143255440783</v>
      </c>
      <c r="I46" s="31">
        <v>0</v>
      </c>
      <c r="J46" s="31" t="s">
        <v>264</v>
      </c>
    </row>
    <row r="47" spans="1:10" x14ac:dyDescent="0.2">
      <c r="A47" s="31" t="s">
        <v>83</v>
      </c>
      <c r="C47" s="31">
        <v>0</v>
      </c>
      <c r="D47" s="81">
        <v>44286</v>
      </c>
      <c r="G47" s="31">
        <f>InpS!$F$79</f>
        <v>0</v>
      </c>
      <c r="I47" s="31">
        <v>0</v>
      </c>
      <c r="J47" s="31" t="s">
        <v>265</v>
      </c>
    </row>
    <row r="48" spans="1:10" x14ac:dyDescent="0.2">
      <c r="A48" s="31" t="s">
        <v>84</v>
      </c>
      <c r="C48" s="31">
        <v>0</v>
      </c>
      <c r="D48" s="81">
        <v>44286</v>
      </c>
      <c r="G48" s="31">
        <f>InpS!$F$80</f>
        <v>149.53400262134264</v>
      </c>
      <c r="I48" s="31">
        <v>0</v>
      </c>
      <c r="J48" s="31" t="s">
        <v>266</v>
      </c>
    </row>
    <row r="49" spans="1:10" x14ac:dyDescent="0.2">
      <c r="A49" s="31" t="s">
        <v>85</v>
      </c>
      <c r="C49" s="31">
        <v>0</v>
      </c>
      <c r="D49" s="81">
        <v>44286</v>
      </c>
      <c r="G49" s="31">
        <f>InpS!$F$81</f>
        <v>695.42272185895331</v>
      </c>
      <c r="I49" s="31">
        <v>0</v>
      </c>
      <c r="J49" s="31" t="s">
        <v>267</v>
      </c>
    </row>
    <row r="50" spans="1:10" x14ac:dyDescent="0.2">
      <c r="A50" s="31" t="s">
        <v>86</v>
      </c>
      <c r="C50" s="31">
        <v>0</v>
      </c>
      <c r="D50" s="81">
        <v>44286</v>
      </c>
      <c r="G50" s="31">
        <f>InpS!$F$82</f>
        <v>950.69587210034842</v>
      </c>
      <c r="I50" s="31">
        <v>0</v>
      </c>
      <c r="J50" s="31" t="s">
        <v>268</v>
      </c>
    </row>
    <row r="51" spans="1:10" x14ac:dyDescent="0.2">
      <c r="A51" s="31" t="s">
        <v>87</v>
      </c>
      <c r="C51" s="31">
        <v>0</v>
      </c>
      <c r="D51" s="81">
        <v>44286</v>
      </c>
      <c r="G51" s="31">
        <f>InpS!$F$83</f>
        <v>131.24972573946249</v>
      </c>
      <c r="I51" s="31">
        <v>0</v>
      </c>
      <c r="J51" s="31" t="s">
        <v>269</v>
      </c>
    </row>
    <row r="52" spans="1:10" x14ac:dyDescent="0.2">
      <c r="A52" s="31" t="s">
        <v>88</v>
      </c>
      <c r="C52" s="31">
        <v>0</v>
      </c>
      <c r="D52" s="81">
        <v>44286</v>
      </c>
      <c r="G52" s="31">
        <f>InpS!$F$84</f>
        <v>48.761246477182816</v>
      </c>
      <c r="I52" s="31">
        <v>0</v>
      </c>
      <c r="J52" s="31" t="s">
        <v>270</v>
      </c>
    </row>
    <row r="53" spans="1:10" x14ac:dyDescent="0.2">
      <c r="A53" s="31" t="s">
        <v>89</v>
      </c>
      <c r="C53" s="31">
        <v>0</v>
      </c>
      <c r="D53" s="81">
        <v>44286</v>
      </c>
      <c r="G53" s="31">
        <f>InpS!$F$85</f>
        <v>18.762959090883722</v>
      </c>
      <c r="I53" s="31">
        <v>0</v>
      </c>
      <c r="J53" s="31" t="s">
        <v>271</v>
      </c>
    </row>
    <row r="54" spans="1:10" x14ac:dyDescent="0.2">
      <c r="A54" s="31" t="s">
        <v>90</v>
      </c>
      <c r="C54" s="31">
        <v>0</v>
      </c>
      <c r="D54" s="81">
        <v>44286</v>
      </c>
      <c r="G54" s="31">
        <f>InpS!$F$86</f>
        <v>476.68623708198032</v>
      </c>
      <c r="I54" s="31">
        <v>0</v>
      </c>
      <c r="J54" s="31" t="s">
        <v>272</v>
      </c>
    </row>
    <row r="55" spans="1:10" x14ac:dyDescent="0.2">
      <c r="A55" s="31" t="s">
        <v>91</v>
      </c>
      <c r="C55" s="31">
        <v>0</v>
      </c>
      <c r="D55" s="81">
        <v>44286</v>
      </c>
      <c r="G55" s="31">
        <f>InpS!$F$87</f>
        <v>54.885303037832216</v>
      </c>
      <c r="I55" s="31">
        <v>0</v>
      </c>
      <c r="J55" s="31" t="s">
        <v>273</v>
      </c>
    </row>
    <row r="56" spans="1:10" x14ac:dyDescent="0.2">
      <c r="A56" s="31" t="s">
        <v>92</v>
      </c>
      <c r="C56" s="31">
        <v>0</v>
      </c>
      <c r="D56" s="81">
        <v>44286</v>
      </c>
      <c r="G56" s="31">
        <f>InpS!$F$88</f>
        <v>915.02727688446305</v>
      </c>
      <c r="I56" s="31">
        <v>0</v>
      </c>
      <c r="J56" s="31" t="s">
        <v>274</v>
      </c>
    </row>
    <row r="57" spans="1:10" x14ac:dyDescent="0.2">
      <c r="A57" s="31" t="s">
        <v>94</v>
      </c>
      <c r="C57" s="31">
        <v>0</v>
      </c>
      <c r="D57" s="81">
        <v>44286</v>
      </c>
      <c r="G57" s="31">
        <f>InpS!$F$92</f>
        <v>1000</v>
      </c>
      <c r="I57" s="31">
        <v>0</v>
      </c>
      <c r="J57" s="31" t="s">
        <v>275</v>
      </c>
    </row>
    <row r="58" spans="1:10" x14ac:dyDescent="0.2">
      <c r="A58" s="31" t="s">
        <v>276</v>
      </c>
      <c r="C58" s="31">
        <v>0</v>
      </c>
      <c r="D58" s="81">
        <v>44286</v>
      </c>
      <c r="G58" s="31">
        <f>InpS!$F$93</f>
        <v>12</v>
      </c>
      <c r="I58" s="31">
        <v>0</v>
      </c>
      <c r="J58" s="31" t="s">
        <v>277</v>
      </c>
    </row>
    <row r="59" spans="1:10" x14ac:dyDescent="0.2">
      <c r="A59" s="31" t="s">
        <v>100</v>
      </c>
      <c r="C59" s="31">
        <v>0</v>
      </c>
      <c r="D59" s="81">
        <v>44286</v>
      </c>
      <c r="E59" s="81">
        <f>Time!$J$13</f>
        <v>44286</v>
      </c>
      <c r="I59" s="31">
        <v>0</v>
      </c>
      <c r="J59" s="31" t="s">
        <v>278</v>
      </c>
    </row>
    <row r="60" spans="1:10" x14ac:dyDescent="0.2">
      <c r="A60" s="31" t="s">
        <v>100</v>
      </c>
      <c r="C60" s="31">
        <v>0</v>
      </c>
      <c r="D60" s="81">
        <v>44651</v>
      </c>
      <c r="E60" s="81">
        <f>Time!$K$13</f>
        <v>44651</v>
      </c>
      <c r="I60" s="31">
        <v>0</v>
      </c>
      <c r="J60" s="31" t="s">
        <v>278</v>
      </c>
    </row>
    <row r="61" spans="1:10" x14ac:dyDescent="0.2">
      <c r="A61" s="31" t="s">
        <v>100</v>
      </c>
      <c r="C61" s="31">
        <v>0</v>
      </c>
      <c r="D61" s="81">
        <v>45016</v>
      </c>
      <c r="E61" s="81">
        <f>Time!$L$13</f>
        <v>45016</v>
      </c>
      <c r="I61" s="31">
        <v>0</v>
      </c>
      <c r="J61" s="31" t="s">
        <v>278</v>
      </c>
    </row>
    <row r="62" spans="1:10" x14ac:dyDescent="0.2">
      <c r="A62" s="31" t="s">
        <v>100</v>
      </c>
      <c r="C62" s="31">
        <v>0</v>
      </c>
      <c r="D62" s="81">
        <v>45382</v>
      </c>
      <c r="E62" s="81">
        <f>Time!$M$13</f>
        <v>45382</v>
      </c>
      <c r="I62" s="31">
        <v>0</v>
      </c>
      <c r="J62" s="31" t="s">
        <v>278</v>
      </c>
    </row>
    <row r="63" spans="1:10" x14ac:dyDescent="0.2">
      <c r="A63" s="31" t="s">
        <v>100</v>
      </c>
      <c r="C63" s="31">
        <v>0</v>
      </c>
      <c r="D63" s="81">
        <v>45747</v>
      </c>
      <c r="E63" s="81">
        <f>Time!$N$13</f>
        <v>45747</v>
      </c>
      <c r="I63" s="31">
        <v>0</v>
      </c>
      <c r="J63" s="31" t="s">
        <v>278</v>
      </c>
    </row>
    <row r="64" spans="1:10" x14ac:dyDescent="0.2">
      <c r="A64" s="31" t="s">
        <v>100</v>
      </c>
      <c r="C64" s="31">
        <v>0</v>
      </c>
      <c r="D64" s="81">
        <v>46112</v>
      </c>
      <c r="E64" s="81">
        <f>Time!$O$13</f>
        <v>46112</v>
      </c>
      <c r="I64" s="31">
        <v>0</v>
      </c>
      <c r="J64" s="31" t="s">
        <v>278</v>
      </c>
    </row>
    <row r="65" spans="1:10" x14ac:dyDescent="0.2">
      <c r="A65" s="31" t="s">
        <v>100</v>
      </c>
      <c r="C65" s="31">
        <v>0</v>
      </c>
      <c r="D65" s="81">
        <v>46477</v>
      </c>
      <c r="E65" s="81">
        <f>Time!$P$13</f>
        <v>46477</v>
      </c>
      <c r="I65" s="31">
        <v>0</v>
      </c>
      <c r="J65" s="31" t="s">
        <v>278</v>
      </c>
    </row>
    <row r="66" spans="1:10" x14ac:dyDescent="0.2">
      <c r="A66" s="31" t="s">
        <v>100</v>
      </c>
      <c r="C66" s="31">
        <v>0</v>
      </c>
      <c r="D66" s="81">
        <v>46843</v>
      </c>
      <c r="E66" s="81">
        <f>Time!$Q$13</f>
        <v>46843</v>
      </c>
      <c r="I66" s="31">
        <v>0</v>
      </c>
      <c r="J66" s="31" t="s">
        <v>278</v>
      </c>
    </row>
    <row r="67" spans="1:10" x14ac:dyDescent="0.2">
      <c r="A67" s="31" t="s">
        <v>100</v>
      </c>
      <c r="C67" s="31">
        <v>0</v>
      </c>
      <c r="D67" s="81">
        <v>47208</v>
      </c>
      <c r="E67" s="81">
        <f>Time!$R$13</f>
        <v>47208</v>
      </c>
      <c r="I67" s="31">
        <v>0</v>
      </c>
      <c r="J67" s="31" t="s">
        <v>278</v>
      </c>
    </row>
    <row r="68" spans="1:10" x14ac:dyDescent="0.2">
      <c r="A68" s="31" t="s">
        <v>100</v>
      </c>
      <c r="C68" s="31">
        <v>0</v>
      </c>
      <c r="D68" s="81">
        <v>47573</v>
      </c>
      <c r="E68" s="81">
        <f>Time!$S$13</f>
        <v>47573</v>
      </c>
      <c r="I68" s="31">
        <v>0</v>
      </c>
      <c r="J68" s="31" t="s">
        <v>278</v>
      </c>
    </row>
    <row r="69" spans="1:10" x14ac:dyDescent="0.2">
      <c r="A69" s="31" t="s">
        <v>16</v>
      </c>
      <c r="C69" s="31">
        <v>0</v>
      </c>
      <c r="D69" s="81">
        <v>44286</v>
      </c>
      <c r="H69" s="31" t="str">
        <f>Time!$J$18</f>
        <v>PR19</v>
      </c>
      <c r="I69" s="31">
        <v>0</v>
      </c>
      <c r="J69" s="31" t="s">
        <v>279</v>
      </c>
    </row>
    <row r="70" spans="1:10" x14ac:dyDescent="0.2">
      <c r="A70" s="31" t="s">
        <v>16</v>
      </c>
      <c r="C70" s="31">
        <v>0</v>
      </c>
      <c r="D70" s="81">
        <v>44651</v>
      </c>
      <c r="H70" s="31" t="str">
        <f>Time!$K$18</f>
        <v>PR19</v>
      </c>
      <c r="I70" s="31">
        <v>0</v>
      </c>
      <c r="J70" s="31" t="s">
        <v>279</v>
      </c>
    </row>
    <row r="71" spans="1:10" x14ac:dyDescent="0.2">
      <c r="A71" s="31" t="s">
        <v>16</v>
      </c>
      <c r="C71" s="31">
        <v>0</v>
      </c>
      <c r="D71" s="81">
        <v>45016</v>
      </c>
      <c r="H71" s="31" t="str">
        <f>Time!$L$18</f>
        <v>PR19</v>
      </c>
      <c r="I71" s="31">
        <v>0</v>
      </c>
      <c r="J71" s="31" t="s">
        <v>279</v>
      </c>
    </row>
    <row r="72" spans="1:10" x14ac:dyDescent="0.2">
      <c r="A72" s="31" t="s">
        <v>16</v>
      </c>
      <c r="C72" s="31">
        <v>0</v>
      </c>
      <c r="D72" s="81">
        <v>45382</v>
      </c>
      <c r="H72" s="31" t="str">
        <f>Time!$M$18</f>
        <v>PR19</v>
      </c>
      <c r="I72" s="31">
        <v>0</v>
      </c>
      <c r="J72" s="31" t="s">
        <v>279</v>
      </c>
    </row>
    <row r="73" spans="1:10" x14ac:dyDescent="0.2">
      <c r="A73" s="31" t="s">
        <v>16</v>
      </c>
      <c r="C73" s="31">
        <v>0</v>
      </c>
      <c r="D73" s="81">
        <v>45747</v>
      </c>
      <c r="H73" s="31" t="str">
        <f>Time!$N$18</f>
        <v>PR19</v>
      </c>
      <c r="I73" s="31">
        <v>0</v>
      </c>
      <c r="J73" s="31" t="s">
        <v>279</v>
      </c>
    </row>
    <row r="74" spans="1:10" x14ac:dyDescent="0.2">
      <c r="A74" s="31" t="s">
        <v>16</v>
      </c>
      <c r="C74" s="31">
        <v>0</v>
      </c>
      <c r="D74" s="81">
        <v>46112</v>
      </c>
      <c r="H74" s="31" t="str">
        <f>Time!$O$18</f>
        <v>PR24</v>
      </c>
      <c r="I74" s="31">
        <v>0</v>
      </c>
      <c r="J74" s="31" t="s">
        <v>279</v>
      </c>
    </row>
    <row r="75" spans="1:10" x14ac:dyDescent="0.2">
      <c r="A75" s="31" t="s">
        <v>16</v>
      </c>
      <c r="C75" s="31">
        <v>0</v>
      </c>
      <c r="D75" s="81">
        <v>46477</v>
      </c>
      <c r="H75" s="31" t="str">
        <f>Time!$P$18</f>
        <v>PR24</v>
      </c>
      <c r="I75" s="31">
        <v>0</v>
      </c>
      <c r="J75" s="31" t="s">
        <v>279</v>
      </c>
    </row>
    <row r="76" spans="1:10" x14ac:dyDescent="0.2">
      <c r="A76" s="31" t="s">
        <v>16</v>
      </c>
      <c r="C76" s="31">
        <v>0</v>
      </c>
      <c r="D76" s="81">
        <v>46843</v>
      </c>
      <c r="H76" s="31" t="str">
        <f>Time!$Q$18</f>
        <v>PR24</v>
      </c>
      <c r="I76" s="31">
        <v>0</v>
      </c>
      <c r="J76" s="31" t="s">
        <v>279</v>
      </c>
    </row>
    <row r="77" spans="1:10" x14ac:dyDescent="0.2">
      <c r="A77" s="31" t="s">
        <v>16</v>
      </c>
      <c r="C77" s="31">
        <v>0</v>
      </c>
      <c r="D77" s="81">
        <v>47208</v>
      </c>
      <c r="H77" s="31" t="str">
        <f>Time!$R$18</f>
        <v>PR24</v>
      </c>
      <c r="I77" s="31">
        <v>0</v>
      </c>
      <c r="J77" s="31" t="s">
        <v>279</v>
      </c>
    </row>
    <row r="78" spans="1:10" x14ac:dyDescent="0.2">
      <c r="A78" s="31" t="s">
        <v>16</v>
      </c>
      <c r="C78" s="31">
        <v>0</v>
      </c>
      <c r="D78" s="81">
        <v>47573</v>
      </c>
      <c r="H78" s="31" t="str">
        <f>Time!$S$18</f>
        <v>PR24</v>
      </c>
      <c r="I78" s="31">
        <v>0</v>
      </c>
      <c r="J78" s="31" t="s">
        <v>279</v>
      </c>
    </row>
    <row r="79" spans="1:10" x14ac:dyDescent="0.2">
      <c r="A79" s="31" t="s">
        <v>18</v>
      </c>
      <c r="C79" s="31">
        <v>0</v>
      </c>
      <c r="D79" s="81">
        <v>44286</v>
      </c>
      <c r="G79" s="31">
        <f>Time!$J$23</f>
        <v>1</v>
      </c>
      <c r="I79" s="31">
        <v>0</v>
      </c>
      <c r="J79" s="31" t="s">
        <v>280</v>
      </c>
    </row>
    <row r="80" spans="1:10" x14ac:dyDescent="0.2">
      <c r="A80" s="31" t="s">
        <v>18</v>
      </c>
      <c r="C80" s="31">
        <v>0</v>
      </c>
      <c r="D80" s="81">
        <v>44651</v>
      </c>
      <c r="G80" s="31">
        <f>Time!$K$23</f>
        <v>2</v>
      </c>
      <c r="I80" s="31">
        <v>0</v>
      </c>
      <c r="J80" s="31" t="s">
        <v>280</v>
      </c>
    </row>
    <row r="81" spans="1:10" x14ac:dyDescent="0.2">
      <c r="A81" s="31" t="s">
        <v>18</v>
      </c>
      <c r="C81" s="31">
        <v>0</v>
      </c>
      <c r="D81" s="81">
        <v>45016</v>
      </c>
      <c r="G81" s="31">
        <f>Time!$L$23</f>
        <v>3</v>
      </c>
      <c r="I81" s="31">
        <v>0</v>
      </c>
      <c r="J81" s="31" t="s">
        <v>280</v>
      </c>
    </row>
    <row r="82" spans="1:10" x14ac:dyDescent="0.2">
      <c r="A82" s="31" t="s">
        <v>18</v>
      </c>
      <c r="C82" s="31">
        <v>0</v>
      </c>
      <c r="D82" s="81">
        <v>45382</v>
      </c>
      <c r="G82" s="31">
        <f>Time!$M$23</f>
        <v>4</v>
      </c>
      <c r="I82" s="31">
        <v>0</v>
      </c>
      <c r="J82" s="31" t="s">
        <v>280</v>
      </c>
    </row>
    <row r="83" spans="1:10" x14ac:dyDescent="0.2">
      <c r="A83" s="31" t="s">
        <v>18</v>
      </c>
      <c r="C83" s="31">
        <v>0</v>
      </c>
      <c r="D83" s="81">
        <v>45747</v>
      </c>
      <c r="G83" s="31">
        <f>Time!$N$23</f>
        <v>5</v>
      </c>
      <c r="I83" s="31">
        <v>0</v>
      </c>
      <c r="J83" s="31" t="s">
        <v>280</v>
      </c>
    </row>
    <row r="84" spans="1:10" x14ac:dyDescent="0.2">
      <c r="A84" s="31" t="s">
        <v>18</v>
      </c>
      <c r="C84" s="31">
        <v>0</v>
      </c>
      <c r="D84" s="81">
        <v>46112</v>
      </c>
      <c r="G84" s="31">
        <f>Time!$O$23</f>
        <v>6</v>
      </c>
      <c r="I84" s="31">
        <v>0</v>
      </c>
      <c r="J84" s="31" t="s">
        <v>280</v>
      </c>
    </row>
    <row r="85" spans="1:10" x14ac:dyDescent="0.2">
      <c r="A85" s="31" t="s">
        <v>18</v>
      </c>
      <c r="C85" s="31">
        <v>0</v>
      </c>
      <c r="D85" s="81">
        <v>46477</v>
      </c>
      <c r="G85" s="31">
        <f>Time!$P$23</f>
        <v>7</v>
      </c>
      <c r="I85" s="31">
        <v>0</v>
      </c>
      <c r="J85" s="31" t="s">
        <v>280</v>
      </c>
    </row>
    <row r="86" spans="1:10" x14ac:dyDescent="0.2">
      <c r="A86" s="31" t="s">
        <v>18</v>
      </c>
      <c r="C86" s="31">
        <v>0</v>
      </c>
      <c r="D86" s="81">
        <v>46843</v>
      </c>
      <c r="G86" s="31">
        <f>Time!$Q$23</f>
        <v>8</v>
      </c>
      <c r="I86" s="31">
        <v>0</v>
      </c>
      <c r="J86" s="31" t="s">
        <v>280</v>
      </c>
    </row>
    <row r="87" spans="1:10" x14ac:dyDescent="0.2">
      <c r="A87" s="31" t="s">
        <v>18</v>
      </c>
      <c r="C87" s="31">
        <v>0</v>
      </c>
      <c r="D87" s="81">
        <v>47208</v>
      </c>
      <c r="G87" s="31">
        <f>Time!$R$23</f>
        <v>9</v>
      </c>
      <c r="I87" s="31">
        <v>0</v>
      </c>
      <c r="J87" s="31" t="s">
        <v>280</v>
      </c>
    </row>
    <row r="88" spans="1:10" x14ac:dyDescent="0.2">
      <c r="A88" s="31" t="s">
        <v>18</v>
      </c>
      <c r="C88" s="31">
        <v>0</v>
      </c>
      <c r="D88" s="81">
        <v>47573</v>
      </c>
      <c r="G88" s="31">
        <f>Time!$S$23</f>
        <v>10</v>
      </c>
      <c r="I88" s="31">
        <v>0</v>
      </c>
      <c r="J88" s="31" t="s">
        <v>280</v>
      </c>
    </row>
    <row r="89" spans="1:10" x14ac:dyDescent="0.2">
      <c r="A89" s="31" t="s">
        <v>102</v>
      </c>
      <c r="C89" s="31">
        <v>0</v>
      </c>
      <c r="D89" s="81">
        <v>44286</v>
      </c>
      <c r="G89" s="31">
        <f>Time!$J$27</f>
        <v>1</v>
      </c>
      <c r="I89" s="31">
        <v>0</v>
      </c>
      <c r="J89" s="31" t="s">
        <v>281</v>
      </c>
    </row>
    <row r="90" spans="1:10" x14ac:dyDescent="0.2">
      <c r="A90" s="31" t="s">
        <v>102</v>
      </c>
      <c r="C90" s="31">
        <v>0</v>
      </c>
      <c r="D90" s="81">
        <v>44651</v>
      </c>
      <c r="G90" s="31">
        <f>Time!$K$27</f>
        <v>2</v>
      </c>
      <c r="I90" s="31">
        <v>0</v>
      </c>
      <c r="J90" s="31" t="s">
        <v>281</v>
      </c>
    </row>
    <row r="91" spans="1:10" x14ac:dyDescent="0.2">
      <c r="A91" s="31" t="s">
        <v>102</v>
      </c>
      <c r="C91" s="31">
        <v>0</v>
      </c>
      <c r="D91" s="81">
        <v>45016</v>
      </c>
      <c r="G91" s="31">
        <f>Time!$L$27</f>
        <v>3</v>
      </c>
      <c r="I91" s="31">
        <v>0</v>
      </c>
      <c r="J91" s="31" t="s">
        <v>281</v>
      </c>
    </row>
    <row r="92" spans="1:10" x14ac:dyDescent="0.2">
      <c r="A92" s="31" t="s">
        <v>102</v>
      </c>
      <c r="C92" s="31">
        <v>0</v>
      </c>
      <c r="D92" s="81">
        <v>45382</v>
      </c>
      <c r="G92" s="31">
        <f>Time!$M$27</f>
        <v>4</v>
      </c>
      <c r="I92" s="31">
        <v>0</v>
      </c>
      <c r="J92" s="31" t="s">
        <v>281</v>
      </c>
    </row>
    <row r="93" spans="1:10" x14ac:dyDescent="0.2">
      <c r="A93" s="31" t="s">
        <v>102</v>
      </c>
      <c r="C93" s="31">
        <v>0</v>
      </c>
      <c r="D93" s="81">
        <v>45747</v>
      </c>
      <c r="G93" s="31">
        <f>Time!$N$27</f>
        <v>5</v>
      </c>
      <c r="I93" s="31">
        <v>0</v>
      </c>
      <c r="J93" s="31" t="s">
        <v>281</v>
      </c>
    </row>
    <row r="94" spans="1:10" x14ac:dyDescent="0.2">
      <c r="A94" s="31" t="s">
        <v>102</v>
      </c>
      <c r="C94" s="31">
        <v>0</v>
      </c>
      <c r="D94" s="81">
        <v>46112</v>
      </c>
      <c r="G94" s="31">
        <f>Time!$O$27</f>
        <v>6</v>
      </c>
      <c r="I94" s="31">
        <v>0</v>
      </c>
      <c r="J94" s="31" t="s">
        <v>281</v>
      </c>
    </row>
    <row r="95" spans="1:10" x14ac:dyDescent="0.2">
      <c r="A95" s="31" t="s">
        <v>102</v>
      </c>
      <c r="C95" s="31">
        <v>0</v>
      </c>
      <c r="D95" s="81">
        <v>46477</v>
      </c>
      <c r="G95" s="31">
        <f>Time!$P$27</f>
        <v>7</v>
      </c>
      <c r="I95" s="31">
        <v>0</v>
      </c>
      <c r="J95" s="31" t="s">
        <v>281</v>
      </c>
    </row>
    <row r="96" spans="1:10" x14ac:dyDescent="0.2">
      <c r="A96" s="31" t="s">
        <v>102</v>
      </c>
      <c r="C96" s="31">
        <v>0</v>
      </c>
      <c r="D96" s="81">
        <v>46843</v>
      </c>
      <c r="G96" s="31">
        <f>Time!$Q$27</f>
        <v>8</v>
      </c>
      <c r="I96" s="31">
        <v>0</v>
      </c>
      <c r="J96" s="31" t="s">
        <v>281</v>
      </c>
    </row>
    <row r="97" spans="1:10" x14ac:dyDescent="0.2">
      <c r="A97" s="31" t="s">
        <v>102</v>
      </c>
      <c r="C97" s="31">
        <v>0</v>
      </c>
      <c r="D97" s="81">
        <v>47208</v>
      </c>
      <c r="G97" s="31">
        <f>Time!$R$27</f>
        <v>9</v>
      </c>
      <c r="I97" s="31">
        <v>0</v>
      </c>
      <c r="J97" s="31" t="s">
        <v>281</v>
      </c>
    </row>
    <row r="98" spans="1:10" x14ac:dyDescent="0.2">
      <c r="A98" s="31" t="s">
        <v>102</v>
      </c>
      <c r="C98" s="31">
        <v>0</v>
      </c>
      <c r="D98" s="81">
        <v>47573</v>
      </c>
      <c r="G98" s="31">
        <f>Time!$S$27</f>
        <v>10</v>
      </c>
      <c r="I98" s="31">
        <v>0</v>
      </c>
      <c r="J98" s="31" t="s">
        <v>281</v>
      </c>
    </row>
    <row r="99" spans="1:10" x14ac:dyDescent="0.2">
      <c r="A99" s="31" t="s">
        <v>103</v>
      </c>
      <c r="C99" s="31">
        <v>0</v>
      </c>
      <c r="D99" s="81">
        <v>44286</v>
      </c>
      <c r="E99" s="81">
        <f>Time!$J$34</f>
        <v>43922</v>
      </c>
      <c r="I99" s="31">
        <v>0</v>
      </c>
      <c r="J99" s="31" t="s">
        <v>282</v>
      </c>
    </row>
    <row r="100" spans="1:10" x14ac:dyDescent="0.2">
      <c r="A100" s="31" t="s">
        <v>103</v>
      </c>
      <c r="C100" s="31">
        <v>0</v>
      </c>
      <c r="D100" s="81">
        <v>44651</v>
      </c>
      <c r="E100" s="81">
        <f>Time!$K$34</f>
        <v>44287</v>
      </c>
      <c r="I100" s="31">
        <v>0</v>
      </c>
      <c r="J100" s="31" t="s">
        <v>282</v>
      </c>
    </row>
    <row r="101" spans="1:10" x14ac:dyDescent="0.2">
      <c r="A101" s="31" t="s">
        <v>103</v>
      </c>
      <c r="C101" s="31">
        <v>0</v>
      </c>
      <c r="D101" s="81">
        <v>45016</v>
      </c>
      <c r="E101" s="81">
        <f>Time!$L$34</f>
        <v>44652</v>
      </c>
      <c r="I101" s="31">
        <v>0</v>
      </c>
      <c r="J101" s="31" t="s">
        <v>282</v>
      </c>
    </row>
    <row r="102" spans="1:10" x14ac:dyDescent="0.2">
      <c r="A102" s="31" t="s">
        <v>103</v>
      </c>
      <c r="C102" s="31">
        <v>0</v>
      </c>
      <c r="D102" s="81">
        <v>45382</v>
      </c>
      <c r="E102" s="81">
        <f>Time!$M$34</f>
        <v>45017</v>
      </c>
      <c r="I102" s="31">
        <v>0</v>
      </c>
      <c r="J102" s="31" t="s">
        <v>282</v>
      </c>
    </row>
    <row r="103" spans="1:10" x14ac:dyDescent="0.2">
      <c r="A103" s="31" t="s">
        <v>103</v>
      </c>
      <c r="C103" s="31">
        <v>0</v>
      </c>
      <c r="D103" s="81">
        <v>45747</v>
      </c>
      <c r="E103" s="81">
        <f>Time!$N$34</f>
        <v>45383</v>
      </c>
      <c r="I103" s="31">
        <v>0</v>
      </c>
      <c r="J103" s="31" t="s">
        <v>282</v>
      </c>
    </row>
    <row r="104" spans="1:10" x14ac:dyDescent="0.2">
      <c r="A104" s="31" t="s">
        <v>103</v>
      </c>
      <c r="C104" s="31">
        <v>0</v>
      </c>
      <c r="D104" s="81">
        <v>46112</v>
      </c>
      <c r="E104" s="81">
        <f>Time!$O$34</f>
        <v>45748</v>
      </c>
      <c r="I104" s="31">
        <v>0</v>
      </c>
      <c r="J104" s="31" t="s">
        <v>282</v>
      </c>
    </row>
    <row r="105" spans="1:10" x14ac:dyDescent="0.2">
      <c r="A105" s="31" t="s">
        <v>103</v>
      </c>
      <c r="C105" s="31">
        <v>0</v>
      </c>
      <c r="D105" s="81">
        <v>46477</v>
      </c>
      <c r="E105" s="81">
        <f>Time!$P$34</f>
        <v>46113</v>
      </c>
      <c r="I105" s="31">
        <v>0</v>
      </c>
      <c r="J105" s="31" t="s">
        <v>282</v>
      </c>
    </row>
    <row r="106" spans="1:10" x14ac:dyDescent="0.2">
      <c r="A106" s="31" t="s">
        <v>103</v>
      </c>
      <c r="C106" s="31">
        <v>0</v>
      </c>
      <c r="D106" s="81">
        <v>46843</v>
      </c>
      <c r="E106" s="81">
        <f>Time!$Q$34</f>
        <v>46478</v>
      </c>
      <c r="I106" s="31">
        <v>0</v>
      </c>
      <c r="J106" s="31" t="s">
        <v>282</v>
      </c>
    </row>
    <row r="107" spans="1:10" x14ac:dyDescent="0.2">
      <c r="A107" s="31" t="s">
        <v>103</v>
      </c>
      <c r="C107" s="31">
        <v>0</v>
      </c>
      <c r="D107" s="81">
        <v>47208</v>
      </c>
      <c r="E107" s="81">
        <f>Time!$R$34</f>
        <v>46844</v>
      </c>
      <c r="I107" s="31">
        <v>0</v>
      </c>
      <c r="J107" s="31" t="s">
        <v>282</v>
      </c>
    </row>
    <row r="108" spans="1:10" x14ac:dyDescent="0.2">
      <c r="A108" s="31" t="s">
        <v>103</v>
      </c>
      <c r="C108" s="31">
        <v>0</v>
      </c>
      <c r="D108" s="81">
        <v>47573</v>
      </c>
      <c r="E108" s="81">
        <f>Time!$S$34</f>
        <v>47209</v>
      </c>
      <c r="I108" s="31">
        <v>0</v>
      </c>
      <c r="J108" s="31" t="s">
        <v>282</v>
      </c>
    </row>
    <row r="109" spans="1:10" x14ac:dyDescent="0.2">
      <c r="A109" s="31" t="s">
        <v>104</v>
      </c>
      <c r="C109" s="31">
        <v>0</v>
      </c>
      <c r="D109" s="81">
        <v>44286</v>
      </c>
      <c r="G109" s="31">
        <f>Totex!$F$11</f>
        <v>1224.9963647336619</v>
      </c>
      <c r="I109" s="31">
        <v>0</v>
      </c>
      <c r="J109" s="31" t="s">
        <v>283</v>
      </c>
    </row>
    <row r="110" spans="1:10" x14ac:dyDescent="0.2">
      <c r="A110" s="31" t="s">
        <v>105</v>
      </c>
      <c r="C110" s="31">
        <v>0</v>
      </c>
      <c r="D110" s="81">
        <v>44286</v>
      </c>
      <c r="G110" s="31">
        <f>Totex!$F$17</f>
        <v>625.251574585659</v>
      </c>
      <c r="I110" s="31">
        <v>0</v>
      </c>
      <c r="J110" s="31" t="s">
        <v>284</v>
      </c>
    </row>
    <row r="111" spans="1:10" x14ac:dyDescent="0.2">
      <c r="A111" s="31" t="s">
        <v>106</v>
      </c>
      <c r="C111" s="31">
        <v>0</v>
      </c>
      <c r="D111" s="81">
        <v>44286</v>
      </c>
      <c r="G111" s="31">
        <f>Totex!$F$23</f>
        <v>154.99309286062214</v>
      </c>
      <c r="I111" s="31">
        <v>0</v>
      </c>
      <c r="J111" s="31" t="s">
        <v>285</v>
      </c>
    </row>
    <row r="112" spans="1:10" x14ac:dyDescent="0.2">
      <c r="A112" s="31" t="s">
        <v>107</v>
      </c>
      <c r="C112" s="31">
        <v>0</v>
      </c>
      <c r="D112" s="81">
        <v>44286</v>
      </c>
      <c r="F112" s="82">
        <f>Totex!$F$29</f>
        <v>0.51041096331873681</v>
      </c>
      <c r="I112" s="31">
        <v>0</v>
      </c>
      <c r="J112" s="31" t="s">
        <v>286</v>
      </c>
    </row>
    <row r="113" spans="1:10" x14ac:dyDescent="0.2">
      <c r="A113" s="31" t="s">
        <v>108</v>
      </c>
      <c r="C113" s="31">
        <v>0</v>
      </c>
      <c r="D113" s="81">
        <v>44286</v>
      </c>
      <c r="F113" s="82">
        <f>Totex!$F$35</f>
        <v>0.44760103755650144</v>
      </c>
      <c r="I113" s="31">
        <v>0</v>
      </c>
      <c r="J113" s="31" t="s">
        <v>287</v>
      </c>
    </row>
    <row r="114" spans="1:10" x14ac:dyDescent="0.2">
      <c r="A114" s="31" t="s">
        <v>109</v>
      </c>
      <c r="C114" s="31">
        <v>0</v>
      </c>
      <c r="D114" s="81">
        <v>44286</v>
      </c>
      <c r="F114" s="82">
        <f>Totex!$F$41</f>
        <v>-6.2809925762235375E-2</v>
      </c>
      <c r="I114" s="31">
        <v>0</v>
      </c>
      <c r="J114" s="31" t="s">
        <v>288</v>
      </c>
    </row>
    <row r="115" spans="1:10" x14ac:dyDescent="0.2">
      <c r="A115" s="31" t="s">
        <v>110</v>
      </c>
      <c r="C115" s="31">
        <v>0</v>
      </c>
      <c r="D115" s="81">
        <v>44286</v>
      </c>
      <c r="G115" s="31">
        <f>Totex!$F$47</f>
        <v>-109.48837363339376</v>
      </c>
      <c r="I115" s="31">
        <v>0</v>
      </c>
      <c r="J115" s="31" t="s">
        <v>289</v>
      </c>
    </row>
    <row r="116" spans="1:10" x14ac:dyDescent="0.2">
      <c r="A116" s="31" t="s">
        <v>111</v>
      </c>
      <c r="C116" s="31">
        <v>0</v>
      </c>
      <c r="D116" s="81">
        <v>44286</v>
      </c>
      <c r="G116" s="31">
        <f>Totex!$F$53</f>
        <v>264.48146649401588</v>
      </c>
      <c r="I116" s="31">
        <v>0</v>
      </c>
      <c r="J116" s="31" t="s">
        <v>290</v>
      </c>
    </row>
    <row r="117" spans="1:10" x14ac:dyDescent="0.2">
      <c r="A117" s="31" t="s">
        <v>112</v>
      </c>
      <c r="C117" s="31">
        <v>0</v>
      </c>
      <c r="D117" s="81">
        <v>44286</v>
      </c>
      <c r="G117" s="31">
        <f>Totex!$F$59</f>
        <v>1396.4219761388358</v>
      </c>
      <c r="I117" s="31">
        <v>0</v>
      </c>
      <c r="J117" s="31" t="s">
        <v>291</v>
      </c>
    </row>
    <row r="118" spans="1:10" x14ac:dyDescent="0.2">
      <c r="A118" s="31" t="s">
        <v>113</v>
      </c>
      <c r="C118" s="31">
        <v>0</v>
      </c>
      <c r="D118" s="81">
        <v>44286</v>
      </c>
      <c r="G118" s="31">
        <f>Totex!$F$67</f>
        <v>125.66578338326059</v>
      </c>
      <c r="I118" s="31">
        <v>0</v>
      </c>
      <c r="J118" s="31" t="s">
        <v>292</v>
      </c>
    </row>
    <row r="119" spans="1:10" x14ac:dyDescent="0.2">
      <c r="A119" s="31" t="s">
        <v>114</v>
      </c>
      <c r="C119" s="31">
        <v>0</v>
      </c>
      <c r="D119" s="81">
        <v>44286</v>
      </c>
      <c r="G119" s="31">
        <f>Totex!$F$73</f>
        <v>0.83356606407476985</v>
      </c>
      <c r="I119" s="31">
        <v>0</v>
      </c>
      <c r="J119" s="31" t="s">
        <v>293</v>
      </c>
    </row>
    <row r="120" spans="1:10" x14ac:dyDescent="0.2">
      <c r="A120" s="31" t="s">
        <v>116</v>
      </c>
      <c r="C120" s="31">
        <v>0</v>
      </c>
      <c r="D120" s="81">
        <v>44286</v>
      </c>
      <c r="G120" s="31">
        <f>Totex!$F$80</f>
        <v>59.043584820001556</v>
      </c>
      <c r="I120" s="31">
        <v>0</v>
      </c>
      <c r="J120" s="31" t="s">
        <v>294</v>
      </c>
    </row>
    <row r="121" spans="1:10" x14ac:dyDescent="0.2">
      <c r="A121" s="31" t="s">
        <v>117</v>
      </c>
      <c r="C121" s="31">
        <v>0</v>
      </c>
      <c r="D121" s="81">
        <v>44286</v>
      </c>
      <c r="G121" s="31">
        <f>Totex!$F$86</f>
        <v>49.216728607273524</v>
      </c>
      <c r="I121" s="31">
        <v>0</v>
      </c>
      <c r="J121" s="31" t="s">
        <v>295</v>
      </c>
    </row>
    <row r="122" spans="1:10" x14ac:dyDescent="0.2">
      <c r="A122" s="31" t="s">
        <v>118</v>
      </c>
      <c r="C122" s="31">
        <v>0</v>
      </c>
      <c r="D122" s="81">
        <v>44286</v>
      </c>
      <c r="G122" s="31">
        <f>Totex!$F$93</f>
        <v>83.983823522995124</v>
      </c>
      <c r="I122" s="31">
        <v>0</v>
      </c>
      <c r="J122" s="31" t="s">
        <v>296</v>
      </c>
    </row>
    <row r="123" spans="1:10" x14ac:dyDescent="0.2">
      <c r="A123" s="31" t="s">
        <v>119</v>
      </c>
      <c r="C123" s="31">
        <v>0</v>
      </c>
      <c r="D123" s="81">
        <v>44286</v>
      </c>
      <c r="G123" s="31">
        <f>Totex!$F$100</f>
        <v>59.043584820001556</v>
      </c>
      <c r="I123" s="31">
        <v>0</v>
      </c>
      <c r="J123" s="31" t="s">
        <v>297</v>
      </c>
    </row>
    <row r="124" spans="1:10" x14ac:dyDescent="0.2">
      <c r="A124" s="31" t="s">
        <v>120</v>
      </c>
      <c r="C124" s="31">
        <v>0</v>
      </c>
      <c r="D124" s="81">
        <v>44286</v>
      </c>
      <c r="G124" s="31">
        <f>Totex!$F$106</f>
        <v>49.216728607273524</v>
      </c>
      <c r="I124" s="31">
        <v>0</v>
      </c>
      <c r="J124" s="31" t="s">
        <v>298</v>
      </c>
    </row>
    <row r="125" spans="1:10" x14ac:dyDescent="0.2">
      <c r="A125" s="31" t="s">
        <v>121</v>
      </c>
      <c r="C125" s="31">
        <v>0</v>
      </c>
      <c r="D125" s="81">
        <v>44286</v>
      </c>
      <c r="G125" s="31">
        <f>Totex!$F$112</f>
        <v>-34.7670949157216</v>
      </c>
      <c r="I125" s="31">
        <v>0</v>
      </c>
      <c r="J125" s="31" t="s">
        <v>299</v>
      </c>
    </row>
    <row r="126" spans="1:10" x14ac:dyDescent="0.2">
      <c r="A126" s="31" t="s">
        <v>122</v>
      </c>
      <c r="C126" s="31">
        <v>0</v>
      </c>
      <c r="D126" s="81">
        <v>44286</v>
      </c>
      <c r="G126" s="31">
        <f>RCV!$F$11</f>
        <v>9472.4660330940642</v>
      </c>
      <c r="I126" s="31">
        <v>0</v>
      </c>
      <c r="J126" s="31" t="s">
        <v>300</v>
      </c>
    </row>
    <row r="127" spans="1:10" x14ac:dyDescent="0.2">
      <c r="A127" s="31" t="s">
        <v>123</v>
      </c>
      <c r="C127" s="31">
        <v>0</v>
      </c>
      <c r="D127" s="81">
        <v>44286</v>
      </c>
      <c r="G127" s="31">
        <f>RCV!$F$17</f>
        <v>448.99359121637173</v>
      </c>
      <c r="I127" s="31">
        <v>0</v>
      </c>
      <c r="J127" s="31" t="s">
        <v>301</v>
      </c>
    </row>
    <row r="128" spans="1:10" x14ac:dyDescent="0.2">
      <c r="A128" s="31" t="s">
        <v>124</v>
      </c>
      <c r="C128" s="31">
        <v>0</v>
      </c>
      <c r="D128" s="81">
        <v>44286</v>
      </c>
      <c r="G128" s="31">
        <f>RCV!$F$23</f>
        <v>49.377620877301297</v>
      </c>
      <c r="I128" s="31">
        <v>0</v>
      </c>
      <c r="J128" s="31" t="s">
        <v>302</v>
      </c>
    </row>
    <row r="129" spans="1:10" x14ac:dyDescent="0.2">
      <c r="A129" s="31" t="s">
        <v>125</v>
      </c>
      <c r="C129" s="31">
        <v>0</v>
      </c>
      <c r="D129" s="81">
        <v>44286</v>
      </c>
      <c r="F129" s="82">
        <f>RCV!$F$29</f>
        <v>4.7399862891850719E-2</v>
      </c>
      <c r="I129" s="31">
        <v>0</v>
      </c>
      <c r="J129" s="31" t="s">
        <v>303</v>
      </c>
    </row>
    <row r="130" spans="1:10" x14ac:dyDescent="0.2">
      <c r="A130" s="31" t="s">
        <v>126</v>
      </c>
      <c r="C130" s="31">
        <v>0</v>
      </c>
      <c r="D130" s="81">
        <v>44286</v>
      </c>
      <c r="F130" s="82">
        <f>RCV!$F$35</f>
        <v>4.337951921696942E-2</v>
      </c>
      <c r="I130" s="31">
        <v>0</v>
      </c>
      <c r="J130" s="31" t="s">
        <v>304</v>
      </c>
    </row>
    <row r="131" spans="1:10" x14ac:dyDescent="0.2">
      <c r="A131" s="31" t="s">
        <v>127</v>
      </c>
      <c r="C131" s="31">
        <v>0</v>
      </c>
      <c r="D131" s="81">
        <v>44286</v>
      </c>
      <c r="F131" s="82">
        <f>RCV!$F$41</f>
        <v>-4.0203436748812993E-3</v>
      </c>
      <c r="I131" s="31">
        <v>0</v>
      </c>
      <c r="J131" s="31" t="s">
        <v>305</v>
      </c>
    </row>
    <row r="132" spans="1:10" x14ac:dyDescent="0.2">
      <c r="A132" s="31" t="s">
        <v>128</v>
      </c>
      <c r="C132" s="31">
        <v>0</v>
      </c>
      <c r="D132" s="81">
        <v>44286</v>
      </c>
      <c r="G132" s="31">
        <f>RCV!$F$47</f>
        <v>-46.18823782398993</v>
      </c>
      <c r="I132" s="31">
        <v>0</v>
      </c>
      <c r="J132" s="31" t="s">
        <v>306</v>
      </c>
    </row>
    <row r="133" spans="1:10" x14ac:dyDescent="0.2">
      <c r="A133" s="31" t="s">
        <v>129</v>
      </c>
      <c r="C133" s="31">
        <v>0</v>
      </c>
      <c r="D133" s="81">
        <v>44286</v>
      </c>
      <c r="G133" s="31">
        <f>RCV!$F$53</f>
        <v>95.565858701291234</v>
      </c>
      <c r="I133" s="31">
        <v>0</v>
      </c>
      <c r="J133" s="31" t="s">
        <v>307</v>
      </c>
    </row>
    <row r="134" spans="1:10" x14ac:dyDescent="0.2">
      <c r="A134" s="31" t="s">
        <v>130</v>
      </c>
      <c r="C134" s="31">
        <v>0</v>
      </c>
      <c r="D134" s="81">
        <v>44286</v>
      </c>
      <c r="G134" s="31">
        <f>RCV!$F$60</f>
        <v>18.810075292197226</v>
      </c>
      <c r="I134" s="31">
        <v>0</v>
      </c>
      <c r="J134" s="31" t="s">
        <v>308</v>
      </c>
    </row>
    <row r="135" spans="1:10" x14ac:dyDescent="0.2">
      <c r="A135" s="31" t="s">
        <v>131</v>
      </c>
      <c r="C135" s="31">
        <v>0</v>
      </c>
      <c r="D135" s="81">
        <v>44286</v>
      </c>
      <c r="G135" s="31">
        <f>RCV!$F$66</f>
        <v>15.679440426266918</v>
      </c>
      <c r="I135" s="31">
        <v>0</v>
      </c>
      <c r="J135" s="31" t="s">
        <v>309</v>
      </c>
    </row>
    <row r="136" spans="1:10" x14ac:dyDescent="0.2">
      <c r="A136" s="31" t="s">
        <v>35</v>
      </c>
      <c r="C136" s="31">
        <v>0</v>
      </c>
      <c r="D136" s="81">
        <v>44286</v>
      </c>
      <c r="G136" s="31">
        <f>RCV!$F$73</f>
        <v>30.346119591613522</v>
      </c>
      <c r="I136" s="31">
        <v>0</v>
      </c>
      <c r="J136" s="31" t="s">
        <v>310</v>
      </c>
    </row>
    <row r="137" spans="1:10" x14ac:dyDescent="0.2">
      <c r="A137" s="31" t="s">
        <v>132</v>
      </c>
      <c r="C137" s="31">
        <v>0</v>
      </c>
      <c r="D137" s="81">
        <v>44286</v>
      </c>
      <c r="G137" s="31">
        <f>RCV!$F$80</f>
        <v>-14.666679165346604</v>
      </c>
      <c r="I137" s="31">
        <v>0</v>
      </c>
      <c r="J137" s="31" t="s">
        <v>311</v>
      </c>
    </row>
    <row r="138" spans="1:10" x14ac:dyDescent="0.2">
      <c r="A138" s="31" t="s">
        <v>133</v>
      </c>
      <c r="C138" s="31">
        <v>0</v>
      </c>
      <c r="D138" s="81">
        <v>44286</v>
      </c>
      <c r="G138" s="31">
        <f>Wholesale!$F$11</f>
        <v>1.1806332960179113</v>
      </c>
      <c r="I138" s="31">
        <v>0</v>
      </c>
      <c r="J138" s="31" t="s">
        <v>312</v>
      </c>
    </row>
    <row r="139" spans="1:10" x14ac:dyDescent="0.2">
      <c r="A139" s="31" t="s">
        <v>134</v>
      </c>
      <c r="C139" s="31">
        <v>0</v>
      </c>
      <c r="D139" s="81">
        <v>44286</v>
      </c>
      <c r="G139" s="31">
        <f>Wholesale!$F$17</f>
        <v>86.023228334693329</v>
      </c>
      <c r="I139" s="31">
        <v>0</v>
      </c>
      <c r="J139" s="31" t="s">
        <v>313</v>
      </c>
    </row>
    <row r="140" spans="1:10" x14ac:dyDescent="0.2">
      <c r="A140" s="31" t="s">
        <v>135</v>
      </c>
      <c r="C140" s="31">
        <v>0</v>
      </c>
      <c r="D140" s="81">
        <v>44286</v>
      </c>
      <c r="G140" s="31">
        <f>Wholesale!$F$24</f>
        <v>104.75073244365714</v>
      </c>
      <c r="I140" s="31">
        <v>0</v>
      </c>
      <c r="J140" s="31" t="s">
        <v>314</v>
      </c>
    </row>
    <row r="141" spans="1:10" x14ac:dyDescent="0.2">
      <c r="A141" s="31" t="s">
        <v>136</v>
      </c>
      <c r="C141" s="31">
        <v>0</v>
      </c>
      <c r="D141" s="81">
        <v>44286</v>
      </c>
      <c r="G141" s="31">
        <f>Wholesale!$F$30</f>
        <v>1396.4219761388358</v>
      </c>
      <c r="I141" s="31">
        <v>0</v>
      </c>
      <c r="J141" s="31" t="s">
        <v>315</v>
      </c>
    </row>
    <row r="142" spans="1:10" x14ac:dyDescent="0.2">
      <c r="A142" s="31" t="s">
        <v>137</v>
      </c>
      <c r="C142" s="31">
        <v>0</v>
      </c>
      <c r="D142" s="81">
        <v>44286</v>
      </c>
      <c r="G142" s="31">
        <f>Wholesale!$F$38</f>
        <v>125.66578338326059</v>
      </c>
      <c r="I142" s="31">
        <v>0</v>
      </c>
      <c r="J142" s="31" t="s">
        <v>316</v>
      </c>
    </row>
    <row r="143" spans="1:10" x14ac:dyDescent="0.2">
      <c r="A143" s="31" t="s">
        <v>138</v>
      </c>
      <c r="C143" s="31">
        <v>0</v>
      </c>
      <c r="D143" s="81">
        <v>44286</v>
      </c>
      <c r="G143" s="31">
        <f>Wholesale!$F$44</f>
        <v>0.83356606407476985</v>
      </c>
      <c r="I143" s="31">
        <v>0</v>
      </c>
      <c r="J143" s="31" t="s">
        <v>317</v>
      </c>
    </row>
    <row r="144" spans="1:10" x14ac:dyDescent="0.2">
      <c r="A144" s="31" t="s">
        <v>140</v>
      </c>
      <c r="C144" s="31">
        <v>0</v>
      </c>
      <c r="D144" s="81">
        <v>44286</v>
      </c>
      <c r="G144" s="31">
        <f>Wholesale!$F$52</f>
        <v>256.51689313175405</v>
      </c>
      <c r="I144" s="31">
        <v>0</v>
      </c>
      <c r="J144" s="31" t="s">
        <v>318</v>
      </c>
    </row>
    <row r="145" spans="1:10" x14ac:dyDescent="0.2">
      <c r="A145" s="31" t="s">
        <v>141</v>
      </c>
      <c r="C145" s="31">
        <v>0</v>
      </c>
      <c r="D145" s="81">
        <v>44286</v>
      </c>
      <c r="G145" s="31">
        <f>Wholesale!$F$60</f>
        <v>38.711927613129205</v>
      </c>
      <c r="I145" s="31">
        <v>0</v>
      </c>
      <c r="J145" s="31" t="s">
        <v>319</v>
      </c>
    </row>
    <row r="146" spans="1:10" x14ac:dyDescent="0.2">
      <c r="A146" s="31" t="s">
        <v>139</v>
      </c>
      <c r="C146" s="31">
        <v>0</v>
      </c>
      <c r="D146" s="81">
        <v>44286</v>
      </c>
      <c r="G146" s="31">
        <f>Wholesale!$F$66</f>
        <v>32.268949133223515</v>
      </c>
      <c r="I146" s="31">
        <v>0</v>
      </c>
      <c r="J146" s="31" t="s">
        <v>320</v>
      </c>
    </row>
    <row r="147" spans="1:10" x14ac:dyDescent="0.2">
      <c r="A147" s="31" t="s">
        <v>142</v>
      </c>
      <c r="C147" s="31">
        <v>0</v>
      </c>
      <c r="D147" s="81">
        <v>44286</v>
      </c>
      <c r="G147" s="31">
        <f>'Wholesale reconciliation'!$F$11</f>
        <v>6.1317589262839789</v>
      </c>
      <c r="I147" s="31">
        <v>0</v>
      </c>
      <c r="J147" s="31" t="s">
        <v>321</v>
      </c>
    </row>
    <row r="148" spans="1:10" x14ac:dyDescent="0.2">
      <c r="A148" s="31" t="s">
        <v>143</v>
      </c>
      <c r="C148" s="31">
        <v>0</v>
      </c>
      <c r="D148" s="81">
        <v>44286</v>
      </c>
      <c r="G148" s="31">
        <f>'Wholesale reconciliation'!$F$19</f>
        <v>16.557044979439919</v>
      </c>
      <c r="I148" s="31">
        <v>0</v>
      </c>
      <c r="J148" s="31" t="s">
        <v>322</v>
      </c>
    </row>
    <row r="149" spans="1:10" x14ac:dyDescent="0.2">
      <c r="A149" s="31" t="s">
        <v>144</v>
      </c>
      <c r="C149" s="31">
        <v>0</v>
      </c>
      <c r="D149" s="81">
        <v>44286</v>
      </c>
      <c r="G149" s="31">
        <f>'Wholesale reconciliation'!$F$25</f>
        <v>13.801390816220662</v>
      </c>
      <c r="I149" s="31">
        <v>0</v>
      </c>
      <c r="J149" s="31" t="s">
        <v>323</v>
      </c>
    </row>
    <row r="150" spans="1:10" x14ac:dyDescent="0.2">
      <c r="A150" s="31" t="s">
        <v>146</v>
      </c>
      <c r="C150" s="31">
        <v>0</v>
      </c>
      <c r="D150" s="81">
        <v>44286</v>
      </c>
      <c r="G150" s="31">
        <f>'Other wholesale items'!$F$13</f>
        <v>16.536699250512502</v>
      </c>
      <c r="I150" s="31">
        <v>0</v>
      </c>
      <c r="J150" s="31" t="s">
        <v>324</v>
      </c>
    </row>
    <row r="151" spans="1:10" x14ac:dyDescent="0.2">
      <c r="A151" s="31" t="s">
        <v>147</v>
      </c>
      <c r="C151" s="31">
        <v>0</v>
      </c>
      <c r="D151" s="81">
        <v>44286</v>
      </c>
      <c r="G151" s="31">
        <f>'Other wholesale items'!$F$21</f>
        <v>-6.2995452688882612</v>
      </c>
      <c r="I151" s="31">
        <v>0</v>
      </c>
      <c r="J151" s="31" t="s">
        <v>325</v>
      </c>
    </row>
    <row r="152" spans="1:10" x14ac:dyDescent="0.2">
      <c r="A152" s="31" t="s">
        <v>145</v>
      </c>
      <c r="C152" s="31">
        <v>0</v>
      </c>
      <c r="D152" s="81">
        <v>44286</v>
      </c>
      <c r="G152" s="31">
        <f>'Other wholesale items'!$F$27</f>
        <v>-5.2510871552480252</v>
      </c>
      <c r="I152" s="31">
        <v>0</v>
      </c>
      <c r="J152" s="31" t="s">
        <v>326</v>
      </c>
    </row>
    <row r="153" spans="1:10" x14ac:dyDescent="0.2">
      <c r="A153" s="31" t="s">
        <v>149</v>
      </c>
      <c r="C153" s="31">
        <v>0</v>
      </c>
      <c r="D153" s="81">
        <v>44286</v>
      </c>
      <c r="G153" s="31">
        <f>'Other wholesale items'!$F$35</f>
        <v>1.142206966768549</v>
      </c>
      <c r="I153" s="31">
        <v>0</v>
      </c>
      <c r="J153" s="31" t="s">
        <v>327</v>
      </c>
    </row>
    <row r="154" spans="1:10" x14ac:dyDescent="0.2">
      <c r="A154" s="31" t="s">
        <v>150</v>
      </c>
      <c r="C154" s="31">
        <v>0</v>
      </c>
      <c r="D154" s="81">
        <v>44286</v>
      </c>
      <c r="G154" s="31">
        <f>'Other wholesale items'!$F$43</f>
        <v>2.9536326790267351</v>
      </c>
      <c r="I154" s="31">
        <v>0</v>
      </c>
      <c r="J154" s="31" t="s">
        <v>328</v>
      </c>
    </row>
    <row r="155" spans="1:10" x14ac:dyDescent="0.2">
      <c r="A155" s="31" t="s">
        <v>148</v>
      </c>
      <c r="C155" s="31">
        <v>0</v>
      </c>
      <c r="D155" s="81">
        <v>44286</v>
      </c>
      <c r="G155" s="31">
        <f>'Other wholesale items'!$F$49</f>
        <v>2.4620479669789335</v>
      </c>
      <c r="I155" s="31">
        <v>0</v>
      </c>
      <c r="J155" s="31" t="s">
        <v>329</v>
      </c>
    </row>
    <row r="156" spans="1:10" x14ac:dyDescent="0.2">
      <c r="A156" s="31" t="s">
        <v>152</v>
      </c>
      <c r="C156" s="31">
        <v>0</v>
      </c>
      <c r="D156" s="81">
        <v>44286</v>
      </c>
      <c r="G156" s="31">
        <f>'Other wholesale items'!$F$57</f>
        <v>1.8785815149980316</v>
      </c>
      <c r="I156" s="31">
        <v>0</v>
      </c>
      <c r="J156" s="31" t="s">
        <v>330</v>
      </c>
    </row>
    <row r="157" spans="1:10" x14ac:dyDescent="0.2">
      <c r="A157" s="31" t="s">
        <v>153</v>
      </c>
      <c r="C157" s="31">
        <v>0</v>
      </c>
      <c r="D157" s="81">
        <v>44286</v>
      </c>
      <c r="G157" s="31">
        <f>'Other wholesale items'!$F$65</f>
        <v>-0.71563309677171683</v>
      </c>
      <c r="I157" s="31">
        <v>0</v>
      </c>
      <c r="J157" s="31" t="s">
        <v>331</v>
      </c>
    </row>
    <row r="158" spans="1:10" x14ac:dyDescent="0.2">
      <c r="A158" s="31" t="s">
        <v>151</v>
      </c>
      <c r="C158" s="31">
        <v>0</v>
      </c>
      <c r="D158" s="81">
        <v>44286</v>
      </c>
      <c r="G158" s="31">
        <f>'Other wholesale items'!$F$71</f>
        <v>-0.59652746379763888</v>
      </c>
      <c r="I158" s="31">
        <v>0</v>
      </c>
      <c r="J158" s="31" t="s">
        <v>332</v>
      </c>
    </row>
    <row r="159" spans="1:10" x14ac:dyDescent="0.2">
      <c r="A159" s="31" t="s">
        <v>55</v>
      </c>
      <c r="C159" s="31">
        <v>0</v>
      </c>
      <c r="D159" s="81">
        <v>44286</v>
      </c>
      <c r="G159" s="31">
        <f>'Other wholesale items'!$F$81</f>
        <v>-6.2157765393274662</v>
      </c>
      <c r="I159" s="31">
        <v>0</v>
      </c>
      <c r="J159" s="31" t="s">
        <v>333</v>
      </c>
    </row>
    <row r="160" spans="1:10" x14ac:dyDescent="0.2">
      <c r="A160" s="31" t="s">
        <v>154</v>
      </c>
      <c r="C160" s="31">
        <v>0</v>
      </c>
      <c r="D160" s="81">
        <v>44286</v>
      </c>
      <c r="G160" s="31">
        <f>'Other wholesale items'!$F$93</f>
        <v>-2.830209887260736</v>
      </c>
      <c r="I160" s="31">
        <v>0</v>
      </c>
      <c r="J160" s="31" t="s">
        <v>334</v>
      </c>
    </row>
    <row r="161" spans="1:10" x14ac:dyDescent="0.2">
      <c r="A161" s="31" t="s">
        <v>155</v>
      </c>
      <c r="C161" s="31">
        <v>0</v>
      </c>
      <c r="D161" s="81">
        <v>44286</v>
      </c>
      <c r="G161" s="31">
        <f>'Cost to serve'!$F$11</f>
        <v>2400.3662590700101</v>
      </c>
      <c r="I161" s="31">
        <v>0</v>
      </c>
      <c r="J161" s="31" t="s">
        <v>335</v>
      </c>
    </row>
    <row r="162" spans="1:10" x14ac:dyDescent="0.2">
      <c r="A162" s="31" t="s">
        <v>156</v>
      </c>
      <c r="C162" s="31">
        <v>0</v>
      </c>
      <c r="D162" s="81">
        <v>44286</v>
      </c>
      <c r="G162" s="31">
        <f>'Cost to serve'!$F$17</f>
        <v>2625.0623727053376</v>
      </c>
      <c r="I162" s="31">
        <v>0</v>
      </c>
      <c r="J162" s="31" t="s">
        <v>336</v>
      </c>
    </row>
    <row r="163" spans="1:10" x14ac:dyDescent="0.2">
      <c r="A163" s="31" t="s">
        <v>157</v>
      </c>
      <c r="C163" s="31">
        <v>0</v>
      </c>
      <c r="D163" s="81">
        <v>44286</v>
      </c>
      <c r="G163" s="31">
        <f>'Cost to serve'!$F$24</f>
        <v>24.815692299440705</v>
      </c>
      <c r="I163" s="31">
        <v>0</v>
      </c>
      <c r="J163" s="31" t="s">
        <v>337</v>
      </c>
    </row>
    <row r="164" spans="1:10" x14ac:dyDescent="0.2">
      <c r="A164" s="31" t="s">
        <v>158</v>
      </c>
      <c r="C164" s="31">
        <v>0</v>
      </c>
      <c r="D164" s="81">
        <v>44286</v>
      </c>
      <c r="G164" s="31">
        <f>'Cost to serve'!$F$31</f>
        <v>27.919179175594067</v>
      </c>
      <c r="I164" s="31">
        <v>0</v>
      </c>
      <c r="J164" s="31" t="s">
        <v>338</v>
      </c>
    </row>
    <row r="165" spans="1:10" x14ac:dyDescent="0.2">
      <c r="A165" s="31" t="s">
        <v>159</v>
      </c>
      <c r="C165" s="31">
        <v>0</v>
      </c>
      <c r="D165" s="81">
        <v>44286</v>
      </c>
      <c r="G165" s="31">
        <f>'Cost to serve'!$F$37</f>
        <v>3.1034868761533616</v>
      </c>
      <c r="I165" s="31">
        <v>0</v>
      </c>
      <c r="J165" s="31" t="s">
        <v>339</v>
      </c>
    </row>
    <row r="166" spans="1:10" x14ac:dyDescent="0.2">
      <c r="A166" s="31" t="s">
        <v>160</v>
      </c>
      <c r="C166" s="31">
        <v>0</v>
      </c>
      <c r="D166" s="81">
        <v>44286</v>
      </c>
      <c r="F166" s="82">
        <f>'Customer number impacts'!$F$11</f>
        <v>3.3413108471989781E-4</v>
      </c>
      <c r="I166" s="31">
        <v>0</v>
      </c>
      <c r="J166" s="31" t="s">
        <v>340</v>
      </c>
    </row>
    <row r="167" spans="1:10" x14ac:dyDescent="0.2">
      <c r="A167" s="31" t="s">
        <v>162</v>
      </c>
      <c r="C167" s="31">
        <v>0</v>
      </c>
      <c r="D167" s="81">
        <v>44286</v>
      </c>
      <c r="F167" s="82">
        <f>'Customer number impacts'!$F$17</f>
        <v>3.2092429675864077E-4</v>
      </c>
      <c r="I167" s="31">
        <v>0</v>
      </c>
      <c r="J167" s="31" t="s">
        <v>341</v>
      </c>
    </row>
    <row r="168" spans="1:10" x14ac:dyDescent="0.2">
      <c r="A168" s="31" t="s">
        <v>163</v>
      </c>
      <c r="C168" s="31">
        <v>0</v>
      </c>
      <c r="D168" s="81">
        <v>44286</v>
      </c>
      <c r="G168" s="31">
        <f>'Customer number impacts'!$F$25</f>
        <v>-21.830990985117182</v>
      </c>
      <c r="I168" s="31">
        <v>0</v>
      </c>
      <c r="J168" s="31" t="s">
        <v>342</v>
      </c>
    </row>
    <row r="169" spans="1:10" x14ac:dyDescent="0.2">
      <c r="A169" s="31" t="s">
        <v>164</v>
      </c>
      <c r="C169" s="31">
        <v>0</v>
      </c>
      <c r="D169" s="81">
        <v>44286</v>
      </c>
      <c r="G169" s="31">
        <f>'Breakdown by costs'!$F$13</f>
        <v>64.896169033540446</v>
      </c>
      <c r="I169" s="31">
        <v>0</v>
      </c>
      <c r="J169" s="31" t="s">
        <v>343</v>
      </c>
    </row>
    <row r="170" spans="1:10" x14ac:dyDescent="0.2">
      <c r="A170" s="31" t="s">
        <v>166</v>
      </c>
      <c r="C170" s="31">
        <v>0</v>
      </c>
      <c r="D170" s="81">
        <v>44286</v>
      </c>
      <c r="G170" s="31">
        <f>'Breakdown by costs'!$F$22</f>
        <v>626.60733046908854</v>
      </c>
      <c r="I170" s="31">
        <v>0</v>
      </c>
      <c r="J170" s="31" t="s">
        <v>344</v>
      </c>
    </row>
    <row r="171" spans="1:10" x14ac:dyDescent="0.2">
      <c r="A171" s="31" t="s">
        <v>167</v>
      </c>
      <c r="C171" s="31">
        <v>0</v>
      </c>
      <c r="D171" s="81">
        <v>44286</v>
      </c>
      <c r="G171" s="31">
        <f>'Breakdown by costs'!$F$29</f>
        <v>270.7817873930253</v>
      </c>
      <c r="I171" s="31">
        <v>0</v>
      </c>
      <c r="J171" s="31" t="s">
        <v>345</v>
      </c>
    </row>
    <row r="172" spans="1:10" x14ac:dyDescent="0.2">
      <c r="A172" s="31" t="s">
        <v>168</v>
      </c>
      <c r="C172" s="31">
        <v>0</v>
      </c>
      <c r="D172" s="81">
        <v>44286</v>
      </c>
      <c r="G172" s="31">
        <f>'Breakdown by costs'!$F$36</f>
        <v>235.99031293879915</v>
      </c>
      <c r="I172" s="31">
        <v>0</v>
      </c>
      <c r="J172" s="31" t="s">
        <v>346</v>
      </c>
    </row>
    <row r="173" spans="1:10" x14ac:dyDescent="0.2">
      <c r="A173" s="31" t="s">
        <v>169</v>
      </c>
      <c r="C173" s="31">
        <v>0</v>
      </c>
      <c r="D173" s="81">
        <v>44286</v>
      </c>
      <c r="G173" s="31">
        <f>'Breakdown by costs'!$F$43</f>
        <v>176.95438886022305</v>
      </c>
      <c r="I173" s="31">
        <v>0</v>
      </c>
      <c r="J173" s="31" t="s">
        <v>347</v>
      </c>
    </row>
    <row r="174" spans="1:10" x14ac:dyDescent="0.2">
      <c r="A174" s="31" t="s">
        <v>170</v>
      </c>
      <c r="C174" s="31">
        <v>0</v>
      </c>
      <c r="D174" s="81">
        <v>44286</v>
      </c>
      <c r="G174" s="31">
        <f>'Breakdown by costs'!$F$50</f>
        <v>149.53400262134264</v>
      </c>
      <c r="I174" s="31">
        <v>0</v>
      </c>
      <c r="J174" s="31" t="s">
        <v>348</v>
      </c>
    </row>
    <row r="175" spans="1:10" x14ac:dyDescent="0.2">
      <c r="A175" s="31" t="s">
        <v>171</v>
      </c>
      <c r="C175" s="31">
        <v>0</v>
      </c>
      <c r="D175" s="81">
        <v>44286</v>
      </c>
      <c r="G175" s="31">
        <f>'Breakdown by costs'!$F$57</f>
        <v>129.65665186626518</v>
      </c>
      <c r="I175" s="31">
        <v>0</v>
      </c>
      <c r="J175" s="31" t="s">
        <v>349</v>
      </c>
    </row>
    <row r="176" spans="1:10" x14ac:dyDescent="0.2">
      <c r="A176" s="31" t="s">
        <v>172</v>
      </c>
      <c r="C176" s="31">
        <v>0</v>
      </c>
      <c r="D176" s="81">
        <v>44286</v>
      </c>
      <c r="G176" s="31">
        <f>'Breakdown by costs'!$F$64</f>
        <v>-106.19654982404566</v>
      </c>
      <c r="I176" s="31">
        <v>0</v>
      </c>
      <c r="J176" s="31" t="s">
        <v>350</v>
      </c>
    </row>
    <row r="177" spans="1:10" x14ac:dyDescent="0.2">
      <c r="A177" s="31" t="s">
        <v>173</v>
      </c>
      <c r="C177" s="31">
        <v>0</v>
      </c>
      <c r="D177" s="81">
        <v>44286</v>
      </c>
      <c r="G177" s="31">
        <f>'Breakdown by costs'!$F$71</f>
        <v>454.53406284746103</v>
      </c>
      <c r="I177" s="31">
        <v>0</v>
      </c>
      <c r="J177" s="31" t="s">
        <v>351</v>
      </c>
    </row>
    <row r="178" spans="1:10" x14ac:dyDescent="0.2">
      <c r="A178" s="31" t="s">
        <v>174</v>
      </c>
      <c r="C178" s="31">
        <v>0</v>
      </c>
      <c r="D178" s="81">
        <v>44286</v>
      </c>
      <c r="G178" s="31">
        <f>'Breakdown by costs'!$F$78</f>
        <v>850.22786065596529</v>
      </c>
      <c r="I178" s="31">
        <v>0</v>
      </c>
      <c r="J178" s="31" t="s">
        <v>352</v>
      </c>
    </row>
    <row r="179" spans="1:10" x14ac:dyDescent="0.2">
      <c r="A179" s="31" t="s">
        <v>175</v>
      </c>
      <c r="C179" s="31">
        <v>0</v>
      </c>
      <c r="D179" s="81">
        <v>44286</v>
      </c>
      <c r="G179" s="31">
        <f>'Breakdown by costs'!$F$91</f>
        <v>2788.0898478281247</v>
      </c>
      <c r="I179" s="31">
        <v>0</v>
      </c>
      <c r="J179" s="31" t="s">
        <v>353</v>
      </c>
    </row>
    <row r="180" spans="1:10" x14ac:dyDescent="0.2">
      <c r="A180" s="31" t="s">
        <v>177</v>
      </c>
      <c r="C180" s="31">
        <v>0</v>
      </c>
      <c r="D180" s="81">
        <v>44286</v>
      </c>
      <c r="G180" s="31">
        <f>'Breakdown by costs'!$F$99</f>
        <v>0.22474431050247723</v>
      </c>
      <c r="I180" s="31">
        <v>0</v>
      </c>
      <c r="J180" s="31" t="s">
        <v>354</v>
      </c>
    </row>
    <row r="181" spans="1:10" x14ac:dyDescent="0.2">
      <c r="A181" s="31" t="s">
        <v>178</v>
      </c>
      <c r="C181" s="31">
        <v>0</v>
      </c>
      <c r="D181" s="81">
        <v>44286</v>
      </c>
      <c r="G181" s="31">
        <f>'Breakdown by costs'!$F$105</f>
        <v>9.7120897163324837E-2</v>
      </c>
      <c r="I181" s="31">
        <v>0</v>
      </c>
      <c r="J181" s="31" t="s">
        <v>355</v>
      </c>
    </row>
    <row r="182" spans="1:10" x14ac:dyDescent="0.2">
      <c r="A182" s="31" t="s">
        <v>179</v>
      </c>
      <c r="C182" s="31">
        <v>0</v>
      </c>
      <c r="D182" s="81">
        <v>44286</v>
      </c>
      <c r="G182" s="31">
        <f>'Breakdown by costs'!$F$111</f>
        <v>8.4642291252784288E-2</v>
      </c>
      <c r="I182" s="31">
        <v>0</v>
      </c>
      <c r="J182" s="31" t="s">
        <v>356</v>
      </c>
    </row>
    <row r="183" spans="1:10" x14ac:dyDescent="0.2">
      <c r="A183" s="31" t="s">
        <v>180</v>
      </c>
      <c r="C183" s="31">
        <v>0</v>
      </c>
      <c r="D183" s="81">
        <v>44286</v>
      </c>
      <c r="G183" s="31">
        <f>'Breakdown by costs'!$F$117</f>
        <v>6.3467964993333181E-2</v>
      </c>
      <c r="I183" s="31">
        <v>0</v>
      </c>
      <c r="J183" s="31" t="s">
        <v>357</v>
      </c>
    </row>
    <row r="184" spans="1:10" x14ac:dyDescent="0.2">
      <c r="A184" s="31" t="s">
        <v>181</v>
      </c>
      <c r="C184" s="31">
        <v>0</v>
      </c>
      <c r="D184" s="81">
        <v>44286</v>
      </c>
      <c r="G184" s="31">
        <f>'Breakdown by costs'!$F$123</f>
        <v>5.3633136226878458E-2</v>
      </c>
      <c r="I184" s="31">
        <v>0</v>
      </c>
      <c r="J184" s="31" t="s">
        <v>358</v>
      </c>
    </row>
    <row r="185" spans="1:10" x14ac:dyDescent="0.2">
      <c r="A185" s="31" t="s">
        <v>182</v>
      </c>
      <c r="C185" s="31">
        <v>0</v>
      </c>
      <c r="D185" s="81">
        <v>44286</v>
      </c>
      <c r="G185" s="31">
        <f>'Breakdown by costs'!$F$129</f>
        <v>4.6503756673145068E-2</v>
      </c>
      <c r="I185" s="31">
        <v>0</v>
      </c>
      <c r="J185" s="31" t="s">
        <v>359</v>
      </c>
    </row>
    <row r="186" spans="1:10" x14ac:dyDescent="0.2">
      <c r="A186" s="31" t="s">
        <v>183</v>
      </c>
      <c r="C186" s="31">
        <v>0</v>
      </c>
      <c r="D186" s="81">
        <v>44286</v>
      </c>
      <c r="G186" s="31">
        <f>'Breakdown by costs'!$F$135</f>
        <v>-3.8089357093987121E-2</v>
      </c>
      <c r="I186" s="31">
        <v>0</v>
      </c>
      <c r="J186" s="31" t="s">
        <v>360</v>
      </c>
    </row>
    <row r="187" spans="1:10" x14ac:dyDescent="0.2">
      <c r="A187" s="31" t="s">
        <v>184</v>
      </c>
      <c r="C187" s="31">
        <v>0</v>
      </c>
      <c r="D187" s="81">
        <v>44286</v>
      </c>
      <c r="G187" s="31">
        <f>'Breakdown by costs'!$F$141</f>
        <v>0.16302704993583167</v>
      </c>
      <c r="I187" s="31">
        <v>0</v>
      </c>
      <c r="J187" s="31" t="s">
        <v>361</v>
      </c>
    </row>
    <row r="188" spans="1:10" x14ac:dyDescent="0.2">
      <c r="A188" s="31" t="s">
        <v>185</v>
      </c>
      <c r="C188" s="31">
        <v>0</v>
      </c>
      <c r="D188" s="81">
        <v>44286</v>
      </c>
      <c r="G188" s="31">
        <f>'Breakdown by costs'!$F$147</f>
        <v>0.30494995034621231</v>
      </c>
      <c r="I188" s="31">
        <v>0</v>
      </c>
      <c r="J188" s="31" t="s">
        <v>362</v>
      </c>
    </row>
    <row r="189" spans="1:10" x14ac:dyDescent="0.2">
      <c r="A189" s="31" t="s">
        <v>187</v>
      </c>
      <c r="C189" s="31">
        <v>0</v>
      </c>
      <c r="D189" s="81">
        <v>44286</v>
      </c>
      <c r="G189" s="31">
        <f>'Breakdown by costs'!$F$155</f>
        <v>14.585044763695262</v>
      </c>
      <c r="I189" s="31">
        <v>0</v>
      </c>
      <c r="J189" s="31" t="s">
        <v>363</v>
      </c>
    </row>
    <row r="190" spans="1:10" x14ac:dyDescent="0.2">
      <c r="A190" s="31" t="s">
        <v>188</v>
      </c>
      <c r="C190" s="31">
        <v>0</v>
      </c>
      <c r="D190" s="81">
        <v>44286</v>
      </c>
      <c r="G190" s="31">
        <f>'Breakdown by costs'!$F$161</f>
        <v>6.3027741590002275</v>
      </c>
      <c r="I190" s="31">
        <v>0</v>
      </c>
      <c r="J190" s="31" t="s">
        <v>364</v>
      </c>
    </row>
    <row r="191" spans="1:10" x14ac:dyDescent="0.2">
      <c r="A191" s="31" t="s">
        <v>189</v>
      </c>
      <c r="C191" s="31">
        <v>0</v>
      </c>
      <c r="D191" s="81">
        <v>44286</v>
      </c>
      <c r="G191" s="31">
        <f>'Breakdown by costs'!$F$167</f>
        <v>5.4929604405268506</v>
      </c>
      <c r="I191" s="31">
        <v>0</v>
      </c>
      <c r="J191" s="31" t="s">
        <v>365</v>
      </c>
    </row>
    <row r="192" spans="1:10" x14ac:dyDescent="0.2">
      <c r="A192" s="31" t="s">
        <v>190</v>
      </c>
      <c r="C192" s="31">
        <v>0</v>
      </c>
      <c r="D192" s="81">
        <v>44286</v>
      </c>
      <c r="G192" s="31">
        <f>'Breakdown by costs'!$F$173</f>
        <v>4.1188277844221775</v>
      </c>
      <c r="I192" s="31">
        <v>0</v>
      </c>
      <c r="J192" s="31" t="s">
        <v>366</v>
      </c>
    </row>
    <row r="193" spans="1:10" x14ac:dyDescent="0.2">
      <c r="A193" s="31" t="s">
        <v>191</v>
      </c>
      <c r="C193" s="31">
        <v>0</v>
      </c>
      <c r="D193" s="81">
        <v>44286</v>
      </c>
      <c r="G193" s="31">
        <f>'Breakdown by costs'!$F$179</f>
        <v>3.4805850743784061</v>
      </c>
      <c r="I193" s="31">
        <v>0</v>
      </c>
      <c r="J193" s="31" t="s">
        <v>367</v>
      </c>
    </row>
    <row r="194" spans="1:10" x14ac:dyDescent="0.2">
      <c r="A194" s="31" t="s">
        <v>192</v>
      </c>
      <c r="C194" s="31">
        <v>0</v>
      </c>
      <c r="D194" s="81">
        <v>44286</v>
      </c>
      <c r="G194" s="31">
        <f>'Breakdown by costs'!$F$185</f>
        <v>3.0179156537550567</v>
      </c>
      <c r="I194" s="31">
        <v>0</v>
      </c>
      <c r="J194" s="31" t="s">
        <v>368</v>
      </c>
    </row>
    <row r="195" spans="1:10" x14ac:dyDescent="0.2">
      <c r="A195" s="31" t="s">
        <v>193</v>
      </c>
      <c r="C195" s="31">
        <v>0</v>
      </c>
      <c r="D195" s="81">
        <v>44286</v>
      </c>
      <c r="G195" s="31">
        <f>'Breakdown by costs'!$F$191</f>
        <v>-2.4718533563502709</v>
      </c>
      <c r="I195" s="31">
        <v>0</v>
      </c>
      <c r="J195" s="31" t="s">
        <v>369</v>
      </c>
    </row>
    <row r="196" spans="1:10" x14ac:dyDescent="0.2">
      <c r="A196" s="31" t="s">
        <v>194</v>
      </c>
      <c r="C196" s="31">
        <v>0</v>
      </c>
      <c r="D196" s="81">
        <v>44286</v>
      </c>
      <c r="G196" s="31">
        <f>'Breakdown by costs'!$F$197</f>
        <v>10.579830989675171</v>
      </c>
      <c r="I196" s="31">
        <v>0</v>
      </c>
      <c r="J196" s="31" t="s">
        <v>370</v>
      </c>
    </row>
    <row r="197" spans="1:10" x14ac:dyDescent="0.2">
      <c r="A197" s="31" t="s">
        <v>195</v>
      </c>
      <c r="C197" s="31">
        <v>0</v>
      </c>
      <c r="D197" s="81">
        <v>44286</v>
      </c>
      <c r="G197" s="31">
        <f>'Breakdown by costs'!$F$203</f>
        <v>19.790083524437559</v>
      </c>
      <c r="I197" s="31">
        <v>0</v>
      </c>
      <c r="J197" s="31" t="s">
        <v>371</v>
      </c>
    </row>
  </sheetData>
  <pageMargins left="0.7" right="0.7" top="0.75" bottom="0.75" header="0.3" footer="0.3"/>
  <pageSetup paperSize="9" orientation="portrait" r:id="rId1"/>
  <customProperties>
    <customPr name="MMSheetType" r:id="rId2"/>
  </customProperties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71"/>
  <sheetViews>
    <sheetView showGridLines="0" tabSelected="1" workbookViewId="0">
      <selection activeCell="B3" sqref="B3"/>
    </sheetView>
  </sheetViews>
  <sheetFormatPr defaultColWidth="0" defaultRowHeight="13.75" customHeight="1" zeroHeight="1" x14ac:dyDescent="0.2"/>
  <cols>
    <col min="1" max="1" width="12.6640625" style="40" bestFit="1" customWidth="1"/>
    <col min="2" max="2" width="83.6640625" style="40" bestFit="1" customWidth="1"/>
    <col min="3" max="3" width="17" style="40" customWidth="1"/>
    <col min="4" max="10" width="11.6640625" style="40" customWidth="1"/>
    <col min="11" max="14" width="11.6640625" style="40" hidden="1" customWidth="1"/>
    <col min="15" max="16384" width="11.6640625" style="40" hidden="1"/>
  </cols>
  <sheetData>
    <row r="1" spans="1:10" ht="31" x14ac:dyDescent="0.2">
      <c r="A1" s="66" t="str">
        <f ca="1" xml:space="preserve"> RIGHT(CELL("filename", $A$1), LEN(CELL("filename", $A$1)) - SEARCH("]", CELL("filename", $A$1)))</f>
        <v>Cover</v>
      </c>
      <c r="B1" s="52"/>
      <c r="C1" s="26"/>
      <c r="D1" s="26"/>
      <c r="E1" s="26"/>
      <c r="F1" s="26"/>
      <c r="G1" s="26"/>
      <c r="H1" s="26"/>
      <c r="I1" s="26"/>
      <c r="J1" s="26"/>
    </row>
    <row r="2" spans="1:10" ht="13" x14ac:dyDescent="0.2"/>
    <row r="3" spans="1:10" s="65" customFormat="1" ht="23.5" x14ac:dyDescent="0.2">
      <c r="B3" s="61" t="s">
        <v>2</v>
      </c>
    </row>
    <row r="4" spans="1:10" ht="13" x14ac:dyDescent="0.2"/>
    <row r="5" spans="1:10" ht="13" x14ac:dyDescent="0.2">
      <c r="B5" s="40" t="s">
        <v>3</v>
      </c>
      <c r="C5" s="59">
        <v>1</v>
      </c>
    </row>
    <row r="6" spans="1:10" ht="13" x14ac:dyDescent="0.2">
      <c r="B6" s="40" t="s">
        <v>4</v>
      </c>
      <c r="C6" s="59" t="s">
        <v>5</v>
      </c>
    </row>
    <row r="7" spans="1:10" ht="13" x14ac:dyDescent="0.2">
      <c r="B7" s="40" t="s">
        <v>6</v>
      </c>
      <c r="C7" s="60" t="str">
        <f ca="1" xml:space="preserve"> MID(CELL("filename"), FIND("[", CELL("filename"), 1) + 1, FIND("]", CELL("filename"), 1) - FIND("[", CELL("filename"), 1) - 1)</f>
        <v>ANH06 Bill waterfall model.xlsx</v>
      </c>
    </row>
    <row r="8" spans="1:10" ht="13" x14ac:dyDescent="0.2">
      <c r="B8" s="40" t="s">
        <v>7</v>
      </c>
      <c r="C8" s="104">
        <v>45121</v>
      </c>
    </row>
    <row r="9" spans="1:10" ht="13" x14ac:dyDescent="0.2"/>
    <row r="10" spans="1:10" ht="13" x14ac:dyDescent="0.2">
      <c r="B10" s="40" t="s">
        <v>8</v>
      </c>
      <c r="C10" s="57" t="s">
        <v>9</v>
      </c>
    </row>
    <row r="11" spans="1:10" ht="13" x14ac:dyDescent="0.2"/>
    <row r="12" spans="1:10" ht="13" x14ac:dyDescent="0.2"/>
    <row r="13" spans="1:10" ht="13" x14ac:dyDescent="0.2"/>
    <row r="14" spans="1:10" ht="13" x14ac:dyDescent="0.2"/>
    <row r="15" spans="1:10" ht="13" x14ac:dyDescent="0.2"/>
    <row r="16" spans="1:10" ht="13" x14ac:dyDescent="0.2"/>
    <row r="17" ht="13" x14ac:dyDescent="0.2"/>
    <row r="18" ht="13" x14ac:dyDescent="0.2"/>
    <row r="19" ht="13" x14ac:dyDescent="0.2"/>
    <row r="20" ht="13" x14ac:dyDescent="0.2"/>
    <row r="21" ht="13" x14ac:dyDescent="0.2"/>
    <row r="22" ht="13" x14ac:dyDescent="0.2"/>
    <row r="23" ht="13" x14ac:dyDescent="0.2"/>
    <row r="24" ht="13" x14ac:dyDescent="0.2"/>
    <row r="25" ht="13" x14ac:dyDescent="0.2"/>
    <row r="26" ht="13" x14ac:dyDescent="0.2"/>
    <row r="27" ht="13" x14ac:dyDescent="0.2"/>
    <row r="28" ht="13" x14ac:dyDescent="0.2"/>
    <row r="29" ht="13" x14ac:dyDescent="0.2"/>
    <row r="30" ht="13" x14ac:dyDescent="0.2"/>
    <row r="31" ht="13" x14ac:dyDescent="0.2"/>
    <row r="32" ht="13" x14ac:dyDescent="0.2"/>
    <row r="33" ht="13" x14ac:dyDescent="0.2"/>
    <row r="34" ht="13" x14ac:dyDescent="0.2"/>
    <row r="35" ht="13" x14ac:dyDescent="0.2"/>
    <row r="36" ht="13" x14ac:dyDescent="0.2"/>
    <row r="37" ht="13" x14ac:dyDescent="0.2"/>
    <row r="38" ht="13.75" customHeight="1" x14ac:dyDescent="0.2"/>
    <row r="39" ht="13.75" customHeight="1" x14ac:dyDescent="0.2"/>
    <row r="40" ht="13.75" customHeight="1" x14ac:dyDescent="0.2"/>
    <row r="47" ht="13.75" customHeight="1" x14ac:dyDescent="0.2"/>
    <row r="48" ht="13.75" customHeight="1" x14ac:dyDescent="0.2"/>
    <row r="49" ht="13.75" customHeight="1" x14ac:dyDescent="0.2"/>
    <row r="50" ht="13.75" customHeight="1" x14ac:dyDescent="0.2"/>
    <row r="51" ht="13.75" customHeight="1" x14ac:dyDescent="0.2"/>
    <row r="52" ht="13.75" customHeight="1" x14ac:dyDescent="0.2"/>
    <row r="53" ht="13.75" customHeight="1" x14ac:dyDescent="0.2"/>
    <row r="54" ht="13.75" customHeight="1" x14ac:dyDescent="0.2"/>
    <row r="55" ht="13.75" customHeight="1" x14ac:dyDescent="0.2"/>
    <row r="56" ht="13.75" customHeight="1" x14ac:dyDescent="0.2"/>
    <row r="57" ht="13.75" customHeight="1" x14ac:dyDescent="0.2"/>
    <row r="58" ht="13.75" customHeight="1" x14ac:dyDescent="0.2"/>
    <row r="59" ht="13.75" customHeight="1" x14ac:dyDescent="0.2"/>
    <row r="60" ht="13.75" customHeight="1" x14ac:dyDescent="0.2"/>
    <row r="61" ht="13.75" customHeight="1" x14ac:dyDescent="0.2"/>
    <row r="62" ht="13.75" customHeight="1" x14ac:dyDescent="0.2"/>
    <row r="63" ht="13.75" customHeight="1" x14ac:dyDescent="0.2"/>
    <row r="70" ht="13.75" customHeight="1" x14ac:dyDescent="0.2"/>
    <row r="71" ht="13.75" customHeight="1" x14ac:dyDescent="0.2"/>
  </sheetData>
  <hyperlinks>
    <hyperlink ref="C10" r:id="rId1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scale="57" orientation="portrait"/>
  <headerFooter>
    <oddHeader>&amp;L&amp;"-,Regular"&amp;9&amp;K63656APage &amp;P of &amp;N&amp;C&amp;"-,Regular"&amp;9&amp;K63656A&amp;F&amp;R&amp;G</oddHeader>
    <oddFooter>&amp;LSheet: &amp;A&amp;RPrinted on &amp;D at &amp;T</oddFooter>
  </headerFooter>
  <customProperties>
    <customPr name="MMSheetType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W47"/>
  <sheetViews>
    <sheetView showGridLines="0" workbookViewId="0"/>
  </sheetViews>
  <sheetFormatPr defaultColWidth="0" defaultRowHeight="13" x14ac:dyDescent="0.2"/>
  <cols>
    <col min="1" max="1" width="36.6640625" style="70" customWidth="1"/>
    <col min="2" max="2" width="28.109375" style="70" customWidth="1"/>
    <col min="3" max="3" width="23.109375" style="70" customWidth="1"/>
    <col min="4" max="4" width="9.33203125" style="70" customWidth="1"/>
    <col min="5" max="26" width="9.33203125" style="70" hidden="1" customWidth="1"/>
    <col min="27" max="55" width="9.109375" style="70" hidden="1" customWidth="1"/>
    <col min="56" max="56" width="9.33203125" style="70" hidden="1" customWidth="1"/>
    <col min="57" max="16384" width="9.33203125" style="70" hidden="1"/>
  </cols>
  <sheetData>
    <row r="1" spans="1:101" s="67" customFormat="1" ht="19.5" x14ac:dyDescent="0.2">
      <c r="A1" s="30" t="str">
        <f ca="1" xml:space="preserve"> RIGHT(CELL("filename", A1), LEN(CELL("filename", A1)) - SEARCH("]", CELL("filename", A1)))</f>
        <v>Contents</v>
      </c>
    </row>
    <row r="2" spans="1:101" s="31" customFormat="1" ht="10.5" x14ac:dyDescent="0.2"/>
    <row r="3" spans="1:101" s="31" customFormat="1" ht="10.5" x14ac:dyDescent="0.2"/>
    <row r="4" spans="1:101" s="31" customFormat="1" ht="10.5" x14ac:dyDescent="0.2"/>
    <row r="5" spans="1:101" s="31" customFormat="1" ht="18.5" x14ac:dyDescent="0.2">
      <c r="A5" s="4" t="s">
        <v>10</v>
      </c>
      <c r="B5" s="43"/>
      <c r="C5" s="43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</row>
    <row r="6" spans="1:101" s="31" customFormat="1" ht="15.5" x14ac:dyDescent="0.2">
      <c r="A6" s="68" t="str">
        <f>HYPERLINK("#TOCrepobxTotal_bill_impacts_Year","1.Total bill impacts")</f>
        <v>1.Total bill impacts</v>
      </c>
      <c r="B6" s="62"/>
      <c r="C6" s="58"/>
    </row>
    <row r="9" spans="1:101" ht="18.5" x14ac:dyDescent="0.2">
      <c r="A9" s="4" t="s">
        <v>11</v>
      </c>
      <c r="B9" s="4" t="s">
        <v>12</v>
      </c>
      <c r="C9" s="4" t="s">
        <v>13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</row>
    <row r="11" spans="1:101" x14ac:dyDescent="0.2">
      <c r="A11" s="70" t="str">
        <f>HYPERLINK("#TOCobxInputs", "1.Inputs")</f>
        <v>1.Inputs</v>
      </c>
    </row>
    <row r="12" spans="1:101" x14ac:dyDescent="0.2">
      <c r="B12" s="70" t="str">
        <f>HYPERLINK("#TOCobxInputs.Totex", "1.1.Totex")</f>
        <v>1.1.Totex</v>
      </c>
    </row>
    <row r="13" spans="1:101" x14ac:dyDescent="0.2">
      <c r="B13" s="70" t="str">
        <f>HYPERLINK("#TOCobxInputs.RCV", "1.2.RCV")</f>
        <v>1.2.RCV</v>
      </c>
    </row>
    <row r="14" spans="1:101" x14ac:dyDescent="0.2">
      <c r="B14" s="70" t="str">
        <f>HYPERLINK("#TOCobxInputs.Wholesale", "1.3.Wholesale")</f>
        <v>1.3.Wholesale</v>
      </c>
    </row>
    <row r="15" spans="1:101" x14ac:dyDescent="0.2">
      <c r="B15" s="70" t="str">
        <f>HYPERLINK("#TOCobxInputs.Wholesale_reconciliation", "1.4.Wholesale reconciliation")</f>
        <v>1.4.Wholesale reconciliation</v>
      </c>
    </row>
    <row r="16" spans="1:101" x14ac:dyDescent="0.2">
      <c r="B16" s="70" t="str">
        <f>HYPERLINK("#TOCobxInputs.Other_wholesale_items", "1.5.Other wholesale items")</f>
        <v>1.5.Other wholesale items</v>
      </c>
    </row>
    <row r="17" spans="1:2" x14ac:dyDescent="0.2">
      <c r="B17" s="70" t="str">
        <f>HYPERLINK("#TOCobxInputs.Housing", "1.6.Housing")</f>
        <v>1.6.Housing</v>
      </c>
    </row>
    <row r="18" spans="1:2" x14ac:dyDescent="0.2">
      <c r="B18" s="70" t="str">
        <f>HYPERLINK("#TOCobxInputs.Cost_to_serve", "1.7.Cost to serve")</f>
        <v>1.7.Cost to serve</v>
      </c>
    </row>
    <row r="19" spans="1:2" x14ac:dyDescent="0.2">
      <c r="B19" s="70" t="str">
        <f>HYPERLINK("#TOCobxInputs.Costs_breakdown", "1.8.Costs breakdown")</f>
        <v>1.8.Costs breakdown</v>
      </c>
    </row>
    <row r="20" spans="1:2" x14ac:dyDescent="0.2">
      <c r="B20" s="70" t="str">
        <f>HYPERLINK("#TOCobxInputs.Model_Constants", "1.9.Model Constants")</f>
        <v>1.9.Model Constants</v>
      </c>
    </row>
    <row r="22" spans="1:2" x14ac:dyDescent="0.2">
      <c r="A22" s="70" t="str">
        <f>HYPERLINK("#TOCobxTime", "2.Time")</f>
        <v>2.Time</v>
      </c>
    </row>
    <row r="23" spans="1:2" x14ac:dyDescent="0.2">
      <c r="B23" s="70" t="str">
        <f>HYPERLINK("#TOCobxTime.Headers", "2.1.Headers")</f>
        <v>2.1.Headers</v>
      </c>
    </row>
    <row r="25" spans="1:2" x14ac:dyDescent="0.2">
      <c r="A25" s="70" t="str">
        <f>HYPERLINK("#TOCobxTotex", "3.Totex")</f>
        <v>3.Totex</v>
      </c>
    </row>
    <row r="27" spans="1:2" x14ac:dyDescent="0.2">
      <c r="A27" s="70" t="str">
        <f>HYPERLINK("#TOCobxRCV", "4.RCV")</f>
        <v>4.RCV</v>
      </c>
    </row>
    <row r="29" spans="1:2" x14ac:dyDescent="0.2">
      <c r="A29" s="70" t="str">
        <f>HYPERLINK("#TOCobxWholesale", "5.Wholesale")</f>
        <v>5.Wholesale</v>
      </c>
    </row>
    <row r="30" spans="1:2" x14ac:dyDescent="0.2">
      <c r="B30" s="70" t="str">
        <f>HYPERLINK("#TOCobxWholesale.WACC", "5.1.WACC")</f>
        <v>5.1.WACC</v>
      </c>
    </row>
    <row r="32" spans="1:2" x14ac:dyDescent="0.2">
      <c r="A32" s="70" t="str">
        <f>HYPERLINK("#TOCobxWholesale_reconciliation", "6.Wholesale reconciliation")</f>
        <v>6.Wholesale reconciliation</v>
      </c>
    </row>
    <row r="34" spans="1:2" x14ac:dyDescent="0.2">
      <c r="A34" s="70" t="str">
        <f>HYPERLINK("#TOCobxOther_wholesale_items", "7.Other wholesale items")</f>
        <v>7.Other wholesale items</v>
      </c>
    </row>
    <row r="35" spans="1:2" x14ac:dyDescent="0.2">
      <c r="B35" s="70" t="str">
        <f>HYPERLINK("#TOCobxOther_wholesale_items.Pension_deficit_repair_allowance", "7.1.Pension deficit repair allowance")</f>
        <v>7.1.Pension deficit repair allowance</v>
      </c>
    </row>
    <row r="36" spans="1:2" x14ac:dyDescent="0.2">
      <c r="B36" s="70" t="str">
        <f>HYPERLINK("#TOCobxOther_wholesale_items.Tax", "7.2.Tax")</f>
        <v>7.2.Tax</v>
      </c>
    </row>
    <row r="37" spans="1:2" x14ac:dyDescent="0.2">
      <c r="B37" s="70" t="str">
        <f>HYPERLINK("#TOCobxOther_wholesale_items.Revenue_profiling", "7.3.Revenue profiling")</f>
        <v>7.3.Revenue profiling</v>
      </c>
    </row>
    <row r="38" spans="1:2" x14ac:dyDescent="0.2">
      <c r="B38" s="70" t="str">
        <f>HYPERLINK("#TOCobxOther_wholesale_items.Other", "7.4.Other")</f>
        <v>7.4.Other</v>
      </c>
    </row>
    <row r="40" spans="1:2" x14ac:dyDescent="0.2">
      <c r="A40" s="70" t="str">
        <f>HYPERLINK("#TOCobxCost_to_serve", "8.Cost to serve")</f>
        <v>8.Cost to serve</v>
      </c>
    </row>
    <row r="42" spans="1:2" x14ac:dyDescent="0.2">
      <c r="A42" s="70" t="str">
        <f>HYPERLINK("#TOCobxCustomer_number_impacts", "9.Customer number impacts")</f>
        <v>9.Customer number impacts</v>
      </c>
    </row>
    <row r="44" spans="1:2" x14ac:dyDescent="0.2">
      <c r="A44" s="70" t="str">
        <f>HYPERLINK("#TOCobxBreakdown_by_costs", "10.Breakdown by costs")</f>
        <v>10.Breakdown by costs</v>
      </c>
    </row>
    <row r="45" spans="1:2" x14ac:dyDescent="0.2">
      <c r="B45" s="70" t="str">
        <f>HYPERLINK("#TOCobxBreakdown_by_costs.Cost_deltas", "10.1.Cost deltas")</f>
        <v>10.1.Cost deltas</v>
      </c>
    </row>
    <row r="46" spans="1:2" x14ac:dyDescent="0.2">
      <c r="B46" s="70" t="str">
        <f>HYPERLINK("#TOCobxBreakdown_by_costs.Cost_proportions", "10.2.Cost proportions")</f>
        <v>10.2.Cost proportions</v>
      </c>
    </row>
    <row r="47" spans="1:2" x14ac:dyDescent="0.2">
      <c r="B47" s="70" t="str">
        <f>HYPERLINK("#TOCobxBreakdown_by_costs.Breakdown_by_costs", "10.3.Breakdown by costs")</f>
        <v>10.3.Breakdown by costs</v>
      </c>
    </row>
  </sheetData>
  <pageMargins left="0.70866141732283472" right="0.70866141732283472" top="0.74803149606299213" bottom="0.74803149606299213" header="0.31496062992125984" footer="0.31496062992125984"/>
  <pageSetup paperSize="9" scale="36" orientation="portrait"/>
  <headerFooter>
    <oddHeader>&amp;L&amp;"-,Regular"&amp;9&amp;K63656APage &amp;P of &amp;N&amp;C&amp;"-,Regular"&amp;9&amp;K63656A&amp;F&amp;R&amp;G</oddHeader>
    <oddFooter>&amp;LSheet: &amp;A&amp;RPrinted on &amp;D at &amp;T</oddFooter>
  </headerFooter>
  <customProperties>
    <customPr name="MMSheetType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DB8E"/>
    <outlinePr summaryBelow="0" summaryRight="0"/>
    <pageSetUpPr fitToPage="1"/>
  </sheetPr>
  <dimension ref="A1:S116"/>
  <sheetViews>
    <sheetView showGridLines="0" zoomScale="85" zoomScaleNormal="85" workbookViewId="0">
      <pane xSplit="9" ySplit="5" topLeftCell="J6" activePane="bottomRight" state="frozen"/>
      <selection pane="topRight"/>
      <selection pane="bottomLeft"/>
      <selection pane="bottomRight" activeCell="M19" sqref="M19"/>
    </sheetView>
  </sheetViews>
  <sheetFormatPr defaultColWidth="0" defaultRowHeight="13" outlineLevelRow="1" x14ac:dyDescent="0.2"/>
  <cols>
    <col min="1" max="2" width="1.44140625" style="40" customWidth="1"/>
    <col min="3" max="4" width="1.44140625" style="70" customWidth="1"/>
    <col min="5" max="5" width="52.6640625" style="70" bestFit="1" customWidth="1"/>
    <col min="6" max="6" width="18.6640625" style="70" bestFit="1" customWidth="1"/>
    <col min="7" max="7" width="17" style="70" bestFit="1" customWidth="1"/>
    <col min="8" max="8" width="14.44140625" style="70" customWidth="1"/>
    <col min="9" max="9" width="3.44140625" style="70" customWidth="1"/>
    <col min="10" max="19" width="11.109375" style="70" bestFit="1" customWidth="1"/>
    <col min="20" max="20" width="15.109375" style="70" hidden="1" customWidth="1"/>
    <col min="21" max="16384" width="15.109375" style="70" hidden="1"/>
  </cols>
  <sheetData>
    <row r="1" spans="1:19" s="20" customFormat="1" ht="26" x14ac:dyDescent="0.2">
      <c r="A1" s="25" t="str">
        <f ca="1">RIGHT(CELL("filename", A1), LEN(CELL("filename", A1)) - SEARCH("]", CELL("filename", A1)))</f>
        <v>InpS</v>
      </c>
      <c r="B1" s="19"/>
      <c r="C1" s="21"/>
      <c r="D1" s="17"/>
      <c r="F1" s="18" t="str">
        <f>HYPERLINK("#Contents!A1","Go to contents")</f>
        <v>Go to contents</v>
      </c>
      <c r="H1" s="12"/>
      <c r="J1" s="12"/>
    </row>
    <row r="2" spans="1:19" s="16" customFormat="1" x14ac:dyDescent="0.2">
      <c r="A2" s="106"/>
      <c r="B2" s="106"/>
      <c r="C2" s="23"/>
      <c r="D2" s="22"/>
      <c r="E2" s="33" t="s">
        <v>14</v>
      </c>
      <c r="F2" s="15">
        <v>0</v>
      </c>
      <c r="G2" s="14" t="s">
        <v>15</v>
      </c>
      <c r="H2" s="6"/>
      <c r="I2" s="6"/>
      <c r="J2" s="2">
        <f>Time!J$13</f>
        <v>44286</v>
      </c>
      <c r="K2" s="2">
        <f>Time!K$13</f>
        <v>44651</v>
      </c>
      <c r="L2" s="2">
        <f>Time!L$13</f>
        <v>45016</v>
      </c>
      <c r="M2" s="2">
        <f>Time!M$13</f>
        <v>45382</v>
      </c>
      <c r="N2" s="2">
        <f>Time!N$13</f>
        <v>45747</v>
      </c>
      <c r="O2" s="2">
        <f>Time!O$13</f>
        <v>46112</v>
      </c>
      <c r="P2" s="2">
        <f>Time!P$13</f>
        <v>46477</v>
      </c>
      <c r="Q2" s="2">
        <f>Time!Q$13</f>
        <v>46843</v>
      </c>
      <c r="R2" s="2">
        <f>Time!R$13</f>
        <v>47208</v>
      </c>
      <c r="S2" s="2">
        <f>Time!S$13</f>
        <v>47573</v>
      </c>
    </row>
    <row r="3" spans="1:19" s="16" customFormat="1" x14ac:dyDescent="0.2">
      <c r="A3" s="106"/>
      <c r="B3" s="106"/>
      <c r="C3" s="23"/>
      <c r="D3" s="22"/>
      <c r="E3" s="1" t="s">
        <v>16</v>
      </c>
      <c r="F3" s="15"/>
      <c r="G3" s="14" t="s">
        <v>17</v>
      </c>
      <c r="H3" s="6"/>
      <c r="I3" s="6"/>
      <c r="J3" s="3" t="str">
        <f>Time!J$18</f>
        <v>PR19</v>
      </c>
      <c r="K3" s="3" t="str">
        <f>Time!K$18</f>
        <v>PR19</v>
      </c>
      <c r="L3" s="3" t="str">
        <f>Time!L$18</f>
        <v>PR19</v>
      </c>
      <c r="M3" s="3" t="str">
        <f>Time!M$18</f>
        <v>PR19</v>
      </c>
      <c r="N3" s="3" t="str">
        <f>Time!N$18</f>
        <v>PR19</v>
      </c>
      <c r="O3" s="3" t="str">
        <f>Time!O$18</f>
        <v>PR24</v>
      </c>
      <c r="P3" s="3" t="str">
        <f>Time!P$18</f>
        <v>PR24</v>
      </c>
      <c r="Q3" s="3" t="str">
        <f>Time!Q$18</f>
        <v>PR24</v>
      </c>
      <c r="R3" s="3" t="str">
        <f>Time!R$18</f>
        <v>PR24</v>
      </c>
      <c r="S3" s="3" t="str">
        <f>Time!S$18</f>
        <v>PR24</v>
      </c>
    </row>
    <row r="4" spans="1:19" s="16" customFormat="1" x14ac:dyDescent="0.2">
      <c r="A4" s="106"/>
      <c r="B4" s="106"/>
      <c r="C4" s="23"/>
      <c r="D4" s="22"/>
      <c r="E4" s="10" t="s">
        <v>18</v>
      </c>
      <c r="F4" s="9"/>
      <c r="G4" s="9"/>
      <c r="H4" s="6"/>
      <c r="I4" s="6"/>
      <c r="J4" s="10">
        <f>Time!J$23</f>
        <v>1</v>
      </c>
      <c r="K4" s="10">
        <f>Time!K$23</f>
        <v>2</v>
      </c>
      <c r="L4" s="10">
        <f>Time!L$23</f>
        <v>3</v>
      </c>
      <c r="M4" s="10">
        <f>Time!M$23</f>
        <v>4</v>
      </c>
      <c r="N4" s="10">
        <f>Time!N$23</f>
        <v>5</v>
      </c>
      <c r="O4" s="10">
        <f>Time!O$23</f>
        <v>6</v>
      </c>
      <c r="P4" s="10">
        <f>Time!P$23</f>
        <v>7</v>
      </c>
      <c r="Q4" s="10">
        <f>Time!Q$23</f>
        <v>8</v>
      </c>
      <c r="R4" s="10">
        <f>Time!R$23</f>
        <v>9</v>
      </c>
      <c r="S4" s="10">
        <f>Time!S$23</f>
        <v>10</v>
      </c>
    </row>
    <row r="5" spans="1:19" s="16" customFormat="1" x14ac:dyDescent="0.2">
      <c r="A5" s="106"/>
      <c r="B5" s="106"/>
      <c r="C5" s="23"/>
      <c r="D5" s="22"/>
      <c r="E5" s="1" t="s">
        <v>19</v>
      </c>
      <c r="F5" s="7" t="s">
        <v>20</v>
      </c>
      <c r="G5" s="7" t="s">
        <v>21</v>
      </c>
      <c r="H5" s="7" t="s">
        <v>22</v>
      </c>
      <c r="I5" s="6"/>
      <c r="J5" s="1">
        <f>Time!J$27</f>
        <v>1</v>
      </c>
      <c r="K5" s="1">
        <f>Time!K$27</f>
        <v>2</v>
      </c>
      <c r="L5" s="1">
        <f>Time!L$27</f>
        <v>3</v>
      </c>
      <c r="M5" s="1">
        <f>Time!M$27</f>
        <v>4</v>
      </c>
      <c r="N5" s="1">
        <f>Time!N$27</f>
        <v>5</v>
      </c>
      <c r="O5" s="1">
        <f>Time!O$27</f>
        <v>6</v>
      </c>
      <c r="P5" s="1">
        <f>Time!P$27</f>
        <v>7</v>
      </c>
      <c r="Q5" s="1">
        <f>Time!Q$27</f>
        <v>8</v>
      </c>
      <c r="R5" s="1">
        <f>Time!R$27</f>
        <v>9</v>
      </c>
      <c r="S5" s="1">
        <f>Time!S$27</f>
        <v>10</v>
      </c>
    </row>
    <row r="6" spans="1:19" s="9" customFormat="1" x14ac:dyDescent="0.2">
      <c r="A6" s="107"/>
      <c r="B6" s="107"/>
      <c r="C6" s="24"/>
      <c r="D6" s="45"/>
    </row>
    <row r="7" spans="1:19" x14ac:dyDescent="0.2">
      <c r="A7" s="70"/>
      <c r="B7" s="70"/>
      <c r="F7" s="40"/>
    </row>
    <row r="8" spans="1:19" x14ac:dyDescent="0.2">
      <c r="A8" s="108" t="s">
        <v>23</v>
      </c>
    </row>
    <row r="10" spans="1:19" x14ac:dyDescent="0.2">
      <c r="E10" s="96" t="s">
        <v>24</v>
      </c>
      <c r="F10" s="97">
        <v>43922</v>
      </c>
      <c r="G10" s="70" t="s">
        <v>25</v>
      </c>
    </row>
    <row r="11" spans="1:19" x14ac:dyDescent="0.2">
      <c r="E11" s="70" t="s">
        <v>26</v>
      </c>
      <c r="F11" s="98">
        <v>3</v>
      </c>
    </row>
    <row r="12" spans="1:19" x14ac:dyDescent="0.2">
      <c r="H12" s="40"/>
      <c r="I12" s="40"/>
      <c r="J12" s="112"/>
      <c r="K12" s="40"/>
    </row>
    <row r="13" spans="1:19" x14ac:dyDescent="0.2">
      <c r="A13" s="108" t="s">
        <v>27</v>
      </c>
      <c r="H13" s="40"/>
      <c r="I13" s="40"/>
      <c r="J13" s="113"/>
      <c r="K13" s="40"/>
    </row>
    <row r="14" spans="1:19" outlineLevel="1" x14ac:dyDescent="0.2">
      <c r="H14" s="40"/>
      <c r="I14" s="40"/>
      <c r="J14" s="114"/>
      <c r="K14" s="40"/>
    </row>
    <row r="15" spans="1:19" outlineLevel="1" x14ac:dyDescent="0.2">
      <c r="C15" s="40"/>
      <c r="D15" s="40"/>
      <c r="E15" s="86" t="s">
        <v>28</v>
      </c>
      <c r="F15" s="99">
        <v>1037.5756544096971</v>
      </c>
      <c r="G15" s="70" t="s">
        <v>29</v>
      </c>
      <c r="H15" s="40"/>
      <c r="I15" s="40"/>
      <c r="J15" s="115"/>
      <c r="K15" s="40"/>
    </row>
    <row r="16" spans="1:19" outlineLevel="1" x14ac:dyDescent="0.2">
      <c r="C16" s="40"/>
      <c r="E16" s="86" t="s">
        <v>30</v>
      </c>
      <c r="F16" s="99">
        <v>1743.169925846719</v>
      </c>
      <c r="G16" s="70" t="s">
        <v>29</v>
      </c>
      <c r="H16" s="40"/>
      <c r="I16" s="40"/>
      <c r="J16" s="116"/>
      <c r="K16" s="40"/>
    </row>
    <row r="17" spans="1:11" outlineLevel="1" x14ac:dyDescent="0.2">
      <c r="C17" s="40"/>
      <c r="E17" s="86" t="s">
        <v>31</v>
      </c>
      <c r="F17" s="99">
        <v>529.58998928332221</v>
      </c>
      <c r="G17" s="70" t="s">
        <v>29</v>
      </c>
      <c r="H17" s="40"/>
      <c r="I17" s="40"/>
      <c r="J17" s="115"/>
      <c r="K17" s="40"/>
    </row>
    <row r="18" spans="1:11" outlineLevel="1" x14ac:dyDescent="0.2">
      <c r="C18" s="40"/>
      <c r="E18" s="86" t="s">
        <v>32</v>
      </c>
      <c r="F18" s="99">
        <v>780.24466744628114</v>
      </c>
      <c r="G18" s="70" t="s">
        <v>29</v>
      </c>
      <c r="H18" s="40"/>
      <c r="I18" s="40"/>
      <c r="J18" s="116"/>
      <c r="K18" s="40"/>
    </row>
    <row r="19" spans="1:11" outlineLevel="1" x14ac:dyDescent="0.2">
      <c r="C19" s="40"/>
      <c r="D19" s="40"/>
      <c r="E19" s="86" t="s">
        <v>33</v>
      </c>
      <c r="F19" s="99">
        <v>1182.7736697319526</v>
      </c>
      <c r="G19" s="70" t="s">
        <v>29</v>
      </c>
      <c r="H19" s="40"/>
      <c r="I19" s="40"/>
      <c r="J19" s="115"/>
      <c r="K19" s="40"/>
    </row>
    <row r="20" spans="1:11" outlineLevel="1" x14ac:dyDescent="0.2">
      <c r="C20" s="40"/>
      <c r="E20" s="86" t="s">
        <v>34</v>
      </c>
      <c r="F20" s="99">
        <v>1726.3024956347729</v>
      </c>
      <c r="G20" s="70" t="s">
        <v>29</v>
      </c>
      <c r="H20" s="40"/>
      <c r="I20" s="40"/>
      <c r="J20" s="115"/>
      <c r="K20" s="40"/>
    </row>
    <row r="21" spans="1:11" x14ac:dyDescent="0.2">
      <c r="C21" s="40"/>
      <c r="D21" s="40"/>
      <c r="H21" s="40"/>
      <c r="I21" s="40"/>
      <c r="J21" s="116"/>
      <c r="K21" s="40"/>
    </row>
    <row r="22" spans="1:11" x14ac:dyDescent="0.2">
      <c r="A22" s="108" t="s">
        <v>35</v>
      </c>
      <c r="C22" s="40"/>
      <c r="D22" s="40"/>
      <c r="H22" s="40"/>
      <c r="I22" s="40"/>
      <c r="J22" s="116"/>
      <c r="K22" s="40"/>
    </row>
    <row r="23" spans="1:11" outlineLevel="1" x14ac:dyDescent="0.2">
      <c r="C23" s="40"/>
      <c r="D23" s="40"/>
      <c r="H23" s="40"/>
      <c r="I23" s="40"/>
      <c r="J23" s="116"/>
      <c r="K23" s="40"/>
    </row>
    <row r="24" spans="1:11" outlineLevel="1" x14ac:dyDescent="0.2">
      <c r="C24" s="40"/>
      <c r="D24" s="40"/>
      <c r="E24" s="86" t="s">
        <v>36</v>
      </c>
      <c r="F24" s="99">
        <v>380.29894017961021</v>
      </c>
      <c r="G24" s="70" t="s">
        <v>29</v>
      </c>
      <c r="H24" s="40"/>
      <c r="I24" s="40"/>
      <c r="J24" s="115"/>
      <c r="K24" s="40"/>
    </row>
    <row r="25" spans="1:11" outlineLevel="1" x14ac:dyDescent="0.2">
      <c r="C25" s="40"/>
      <c r="E25" s="86" t="s">
        <v>37</v>
      </c>
      <c r="F25" s="99">
        <v>498.37121209367302</v>
      </c>
      <c r="G25" s="70" t="s">
        <v>29</v>
      </c>
      <c r="H25" s="40"/>
      <c r="I25" s="40"/>
      <c r="J25" s="116"/>
      <c r="K25" s="40"/>
    </row>
    <row r="26" spans="1:11" outlineLevel="1" x14ac:dyDescent="0.2">
      <c r="C26" s="40"/>
      <c r="D26" s="40"/>
      <c r="E26" s="86" t="s">
        <v>38</v>
      </c>
      <c r="F26" s="99">
        <v>8023.2075997205802</v>
      </c>
      <c r="G26" s="70" t="s">
        <v>29</v>
      </c>
      <c r="H26" s="40"/>
      <c r="I26" s="40"/>
      <c r="J26" s="115"/>
      <c r="K26" s="40"/>
    </row>
    <row r="27" spans="1:11" outlineLevel="1" x14ac:dyDescent="0.2">
      <c r="C27" s="40"/>
      <c r="D27" s="40"/>
      <c r="E27" s="86" t="s">
        <v>39</v>
      </c>
      <c r="F27" s="99">
        <v>11488.629221568635</v>
      </c>
      <c r="G27" s="70" t="s">
        <v>29</v>
      </c>
      <c r="H27" s="40"/>
      <c r="I27" s="40"/>
      <c r="J27" s="116"/>
      <c r="K27" s="40"/>
    </row>
    <row r="28" spans="1:11" x14ac:dyDescent="0.2">
      <c r="C28" s="40"/>
      <c r="H28" s="40"/>
      <c r="I28" s="40"/>
      <c r="J28" s="116"/>
      <c r="K28" s="40"/>
    </row>
    <row r="29" spans="1:11" x14ac:dyDescent="0.2">
      <c r="A29" s="108" t="s">
        <v>40</v>
      </c>
      <c r="C29" s="40"/>
      <c r="H29" s="40"/>
      <c r="I29" s="40"/>
      <c r="J29" s="116"/>
      <c r="K29" s="40"/>
    </row>
    <row r="30" spans="1:11" outlineLevel="1" x14ac:dyDescent="0.2">
      <c r="C30" s="40"/>
      <c r="D30" s="40"/>
      <c r="H30" s="40"/>
      <c r="I30" s="40"/>
      <c r="J30" s="116"/>
      <c r="K30" s="111"/>
    </row>
    <row r="31" spans="1:11" outlineLevel="1" x14ac:dyDescent="0.2">
      <c r="C31" s="40"/>
      <c r="D31" s="40"/>
      <c r="E31" s="100" t="s">
        <v>41</v>
      </c>
      <c r="F31" s="101">
        <v>104.21666666666665</v>
      </c>
      <c r="G31" s="70" t="s">
        <v>42</v>
      </c>
      <c r="H31" s="40"/>
      <c r="I31" s="40"/>
      <c r="J31" s="116"/>
      <c r="K31" s="40"/>
    </row>
    <row r="32" spans="1:11" outlineLevel="1" x14ac:dyDescent="0.2">
      <c r="C32" s="40"/>
      <c r="D32" s="40"/>
      <c r="E32" s="100" t="s">
        <v>43</v>
      </c>
      <c r="F32" s="101">
        <v>123.04166666666664</v>
      </c>
      <c r="G32" s="70" t="s">
        <v>42</v>
      </c>
      <c r="H32" s="40"/>
      <c r="I32" s="40"/>
      <c r="J32" s="116"/>
      <c r="K32" s="40"/>
    </row>
    <row r="33" spans="1:11" outlineLevel="1" x14ac:dyDescent="0.2">
      <c r="C33" s="40"/>
      <c r="E33" s="86" t="s">
        <v>44</v>
      </c>
      <c r="F33" s="99">
        <v>1653.0129089041025</v>
      </c>
      <c r="G33" s="70" t="s">
        <v>29</v>
      </c>
      <c r="H33" s="40"/>
      <c r="I33" s="40"/>
      <c r="J33" s="40"/>
      <c r="K33" s="40"/>
    </row>
    <row r="34" spans="1:11" outlineLevel="1" x14ac:dyDescent="0.2">
      <c r="C34" s="40"/>
      <c r="D34" s="40"/>
      <c r="E34" s="86" t="s">
        <v>45</v>
      </c>
      <c r="F34" s="99">
        <v>1182.7736697319526</v>
      </c>
      <c r="G34" s="70" t="s">
        <v>29</v>
      </c>
      <c r="H34" s="40"/>
      <c r="I34" s="40"/>
      <c r="J34" s="115"/>
      <c r="K34" s="40"/>
    </row>
    <row r="35" spans="1:11" outlineLevel="1" x14ac:dyDescent="0.2">
      <c r="C35" s="40"/>
      <c r="E35" s="86" t="s">
        <v>46</v>
      </c>
      <c r="F35" s="99">
        <v>1726.3024956347729</v>
      </c>
      <c r="G35" s="70" t="s">
        <v>29</v>
      </c>
      <c r="H35" s="40"/>
      <c r="I35" s="40"/>
      <c r="J35" s="116"/>
      <c r="K35" s="40"/>
    </row>
    <row r="36" spans="1:11" outlineLevel="1" x14ac:dyDescent="0.2">
      <c r="C36" s="40"/>
      <c r="E36" s="86" t="s">
        <v>47</v>
      </c>
      <c r="F36" s="99">
        <v>217.27059028145726</v>
      </c>
      <c r="G36" s="70" t="s">
        <v>29</v>
      </c>
      <c r="H36" s="40"/>
      <c r="I36" s="40"/>
      <c r="J36" s="115"/>
      <c r="K36" s="40"/>
    </row>
    <row r="37" spans="1:11" outlineLevel="1" x14ac:dyDescent="0.2">
      <c r="C37" s="40"/>
      <c r="E37" s="86" t="s">
        <v>48</v>
      </c>
      <c r="F37" s="99">
        <v>358.13811768387228</v>
      </c>
      <c r="G37" s="70" t="s">
        <v>29</v>
      </c>
      <c r="H37" s="40"/>
      <c r="I37" s="40"/>
      <c r="J37" s="116"/>
      <c r="K37" s="40"/>
    </row>
    <row r="38" spans="1:11" outlineLevel="1" x14ac:dyDescent="0.2">
      <c r="C38" s="40"/>
      <c r="D38" s="40"/>
      <c r="E38" s="86" t="s">
        <v>49</v>
      </c>
      <c r="F38" s="99">
        <v>472.38795616390502</v>
      </c>
      <c r="G38" s="70" t="s">
        <v>50</v>
      </c>
      <c r="H38" s="40"/>
      <c r="I38" s="40"/>
      <c r="J38" s="117"/>
      <c r="K38" s="40"/>
    </row>
    <row r="39" spans="1:11" outlineLevel="1" x14ac:dyDescent="0.2">
      <c r="C39" s="40"/>
      <c r="E39" s="86" t="s">
        <v>51</v>
      </c>
      <c r="F39" s="99">
        <v>558.41118449859835</v>
      </c>
      <c r="G39" s="70" t="s">
        <v>50</v>
      </c>
      <c r="H39" s="40"/>
      <c r="I39" s="40"/>
      <c r="J39" s="116"/>
      <c r="K39" s="40"/>
    </row>
    <row r="40" spans="1:11" x14ac:dyDescent="0.2">
      <c r="C40" s="40"/>
      <c r="D40" s="40"/>
      <c r="E40" s="40"/>
      <c r="H40" s="40"/>
      <c r="I40" s="40"/>
      <c r="J40" s="116"/>
      <c r="K40" s="40"/>
    </row>
    <row r="41" spans="1:11" x14ac:dyDescent="0.2">
      <c r="A41" s="108" t="s">
        <v>52</v>
      </c>
      <c r="C41" s="40"/>
      <c r="D41" s="40"/>
      <c r="E41" s="40"/>
      <c r="H41" s="40"/>
      <c r="I41" s="40"/>
      <c r="J41" s="116"/>
      <c r="K41" s="40"/>
    </row>
    <row r="42" spans="1:11" outlineLevel="1" x14ac:dyDescent="0.2">
      <c r="C42" s="40"/>
      <c r="D42" s="40"/>
      <c r="E42" s="40"/>
      <c r="H42" s="40"/>
      <c r="I42" s="40"/>
      <c r="J42" s="116"/>
      <c r="K42" s="40"/>
    </row>
    <row r="43" spans="1:11" outlineLevel="1" x14ac:dyDescent="0.2">
      <c r="C43" s="40"/>
      <c r="D43" s="40"/>
      <c r="E43" s="110" t="s">
        <v>53</v>
      </c>
      <c r="F43" s="99">
        <v>5.193618498618858</v>
      </c>
      <c r="G43" s="70" t="s">
        <v>29</v>
      </c>
      <c r="H43" s="40"/>
      <c r="I43" s="40"/>
      <c r="J43" s="115"/>
      <c r="K43" s="40"/>
    </row>
    <row r="44" spans="1:11" outlineLevel="1" x14ac:dyDescent="0.2">
      <c r="C44" s="40"/>
      <c r="D44" s="40"/>
      <c r="E44" s="86" t="s">
        <v>54</v>
      </c>
      <c r="F44" s="99">
        <v>49.595034705001524</v>
      </c>
      <c r="G44" s="70" t="s">
        <v>29</v>
      </c>
      <c r="H44" s="40"/>
      <c r="I44" s="40"/>
      <c r="J44" s="116"/>
      <c r="K44" s="40"/>
    </row>
    <row r="45" spans="1:11" x14ac:dyDescent="0.2">
      <c r="C45" s="40"/>
      <c r="D45" s="40"/>
      <c r="H45" s="40"/>
      <c r="I45" s="40"/>
      <c r="J45" s="116"/>
      <c r="K45" s="40"/>
    </row>
    <row r="46" spans="1:11" x14ac:dyDescent="0.2">
      <c r="A46" s="108" t="s">
        <v>55</v>
      </c>
      <c r="C46" s="40"/>
      <c r="D46" s="40"/>
      <c r="H46" s="40"/>
      <c r="I46" s="40"/>
      <c r="J46" s="116"/>
      <c r="K46" s="40"/>
    </row>
    <row r="47" spans="1:11" outlineLevel="1" x14ac:dyDescent="0.2">
      <c r="C47" s="40"/>
      <c r="D47" s="40"/>
      <c r="H47" s="40"/>
      <c r="I47" s="40"/>
      <c r="J47" s="116"/>
      <c r="K47" s="40"/>
    </row>
    <row r="48" spans="1:11" outlineLevel="1" x14ac:dyDescent="0.2">
      <c r="C48" s="40"/>
      <c r="D48" s="40"/>
      <c r="E48" s="86" t="s">
        <v>56</v>
      </c>
      <c r="F48" s="99">
        <v>14.006634664877032</v>
      </c>
      <c r="G48" s="70" t="s">
        <v>29</v>
      </c>
      <c r="H48" s="40"/>
      <c r="I48" s="40"/>
      <c r="J48" s="115"/>
      <c r="K48" s="40"/>
    </row>
    <row r="49" spans="1:11" outlineLevel="1" x14ac:dyDescent="0.2">
      <c r="C49" s="40"/>
      <c r="E49" s="86" t="s">
        <v>57</v>
      </c>
      <c r="F49" s="99">
        <v>0</v>
      </c>
      <c r="G49" s="70" t="s">
        <v>29</v>
      </c>
      <c r="H49" s="40"/>
      <c r="I49" s="40"/>
      <c r="J49" s="115"/>
      <c r="K49" s="40"/>
    </row>
    <row r="50" spans="1:11" outlineLevel="1" x14ac:dyDescent="0.2">
      <c r="C50" s="40"/>
      <c r="D50" s="40"/>
      <c r="E50" s="110" t="s">
        <v>58</v>
      </c>
      <c r="F50" s="99">
        <v>0.96745278201202001</v>
      </c>
      <c r="G50" s="70" t="s">
        <v>29</v>
      </c>
      <c r="H50" s="40"/>
      <c r="I50" s="40"/>
      <c r="J50" s="115"/>
      <c r="K50" s="40"/>
    </row>
    <row r="51" spans="1:11" outlineLevel="1" x14ac:dyDescent="0.2">
      <c r="C51" s="40"/>
      <c r="D51" s="40"/>
      <c r="E51" s="86" t="s">
        <v>59</v>
      </c>
      <c r="F51" s="99">
        <v>8.895676975274494</v>
      </c>
      <c r="G51" s="70" t="s">
        <v>29</v>
      </c>
      <c r="H51" s="40"/>
      <c r="I51" s="40"/>
      <c r="J51" s="116"/>
      <c r="K51" s="40"/>
    </row>
    <row r="52" spans="1:11" outlineLevel="1" x14ac:dyDescent="0.2">
      <c r="C52" s="40"/>
      <c r="D52" s="40"/>
      <c r="E52" s="110" t="s">
        <v>60</v>
      </c>
      <c r="F52" s="99">
        <v>1.5911642686464873</v>
      </c>
      <c r="G52" s="70" t="s">
        <v>29</v>
      </c>
      <c r="H52" s="114"/>
      <c r="I52" s="40"/>
      <c r="J52" s="117"/>
      <c r="K52" s="40"/>
    </row>
    <row r="53" spans="1:11" outlineLevel="1" x14ac:dyDescent="0.2">
      <c r="C53" s="40"/>
      <c r="D53" s="40"/>
      <c r="E53" s="86" t="s">
        <v>61</v>
      </c>
      <c r="F53" s="99">
        <v>0</v>
      </c>
      <c r="G53" s="70" t="s">
        <v>29</v>
      </c>
      <c r="H53" s="40"/>
      <c r="I53" s="40"/>
      <c r="J53" s="116"/>
      <c r="K53" s="40"/>
    </row>
    <row r="54" spans="1:11" x14ac:dyDescent="0.2">
      <c r="C54" s="40"/>
      <c r="H54" s="40"/>
      <c r="I54" s="40"/>
      <c r="J54" s="116"/>
      <c r="K54" s="40"/>
    </row>
    <row r="55" spans="1:11" x14ac:dyDescent="0.2">
      <c r="A55" s="108" t="s">
        <v>62</v>
      </c>
      <c r="C55" s="40"/>
      <c r="H55" s="40"/>
      <c r="I55" s="40"/>
      <c r="J55" s="116"/>
      <c r="K55" s="40"/>
    </row>
    <row r="56" spans="1:11" outlineLevel="1" x14ac:dyDescent="0.2">
      <c r="C56" s="40"/>
      <c r="H56" s="40"/>
      <c r="I56" s="40"/>
      <c r="J56" s="116"/>
      <c r="K56" s="40"/>
    </row>
    <row r="57" spans="1:11" outlineLevel="1" x14ac:dyDescent="0.2">
      <c r="C57" s="40"/>
      <c r="D57" s="40"/>
      <c r="E57" s="102" t="s">
        <v>63</v>
      </c>
      <c r="F57" s="103">
        <v>0.80203698186810568</v>
      </c>
      <c r="G57" s="70" t="s">
        <v>64</v>
      </c>
      <c r="H57" s="40"/>
      <c r="I57" s="40"/>
      <c r="J57" s="115"/>
      <c r="K57" s="40"/>
    </row>
    <row r="58" spans="1:11" outlineLevel="1" x14ac:dyDescent="0.2">
      <c r="C58" s="40"/>
      <c r="E58" s="102" t="s">
        <v>65</v>
      </c>
      <c r="F58" s="103">
        <v>0.84244629590802944</v>
      </c>
      <c r="G58" s="70" t="s">
        <v>64</v>
      </c>
      <c r="H58" s="40"/>
      <c r="I58" s="40"/>
      <c r="J58" s="116"/>
      <c r="K58" s="40"/>
    </row>
    <row r="59" spans="1:11" outlineLevel="1" x14ac:dyDescent="0.2">
      <c r="C59" s="40"/>
      <c r="D59" s="40"/>
      <c r="E59" s="70" t="s">
        <v>66</v>
      </c>
      <c r="F59" s="98">
        <v>1979.633620276785</v>
      </c>
      <c r="G59" s="70" t="s">
        <v>67</v>
      </c>
      <c r="H59" s="40"/>
      <c r="I59" s="40"/>
      <c r="J59" s="117"/>
      <c r="K59" s="40"/>
    </row>
    <row r="60" spans="1:11" outlineLevel="1" x14ac:dyDescent="0.2">
      <c r="C60" s="40"/>
      <c r="D60" s="40"/>
      <c r="E60" s="70" t="s">
        <v>68</v>
      </c>
      <c r="F60" s="98">
        <v>420.73263879322514</v>
      </c>
      <c r="G60" s="70" t="s">
        <v>67</v>
      </c>
      <c r="H60" s="40"/>
      <c r="I60" s="40"/>
      <c r="J60" s="115"/>
      <c r="K60" s="40"/>
    </row>
    <row r="61" spans="1:11" outlineLevel="1" x14ac:dyDescent="0.2">
      <c r="C61" s="40"/>
      <c r="E61" s="70" t="s">
        <v>69</v>
      </c>
      <c r="F61" s="98">
        <v>2248.4354366091711</v>
      </c>
      <c r="G61" s="70" t="s">
        <v>67</v>
      </c>
      <c r="H61" s="40"/>
      <c r="I61" s="40"/>
      <c r="J61" s="116"/>
      <c r="K61" s="40"/>
    </row>
    <row r="62" spans="1:11" outlineLevel="1" x14ac:dyDescent="0.2">
      <c r="C62" s="40"/>
      <c r="E62" s="70" t="s">
        <v>70</v>
      </c>
      <c r="F62" s="98">
        <v>376.62693609616639</v>
      </c>
      <c r="G62" s="70" t="s">
        <v>67</v>
      </c>
      <c r="H62" s="40"/>
      <c r="I62" s="40"/>
      <c r="J62" s="116"/>
      <c r="K62" s="40"/>
    </row>
    <row r="63" spans="1:11" x14ac:dyDescent="0.2">
      <c r="C63" s="40"/>
      <c r="H63" s="40"/>
      <c r="I63" s="40"/>
      <c r="J63" s="116"/>
      <c r="K63" s="40"/>
    </row>
    <row r="64" spans="1:11" x14ac:dyDescent="0.2">
      <c r="A64" s="108" t="s">
        <v>71</v>
      </c>
      <c r="C64" s="40"/>
      <c r="H64" s="40"/>
      <c r="I64" s="40"/>
      <c r="J64" s="116"/>
      <c r="K64" s="40"/>
    </row>
    <row r="65" spans="1:11" outlineLevel="1" x14ac:dyDescent="0.2">
      <c r="C65" s="40"/>
      <c r="H65" s="40"/>
      <c r="I65" s="40"/>
      <c r="J65" s="116"/>
      <c r="K65" s="40"/>
    </row>
    <row r="66" spans="1:11" outlineLevel="1" x14ac:dyDescent="0.2">
      <c r="C66" s="40"/>
      <c r="D66" s="40"/>
      <c r="E66" s="86" t="s">
        <v>72</v>
      </c>
      <c r="F66" s="99">
        <v>59.566750491040942</v>
      </c>
      <c r="G66" s="70" t="s">
        <v>29</v>
      </c>
      <c r="H66" s="40"/>
      <c r="I66" s="40"/>
      <c r="J66" s="117"/>
      <c r="K66" s="40"/>
    </row>
    <row r="67" spans="1:11" outlineLevel="1" x14ac:dyDescent="0.2">
      <c r="C67" s="40"/>
      <c r="D67" s="40"/>
      <c r="E67" s="86" t="s">
        <v>73</v>
      </c>
      <c r="F67" s="99">
        <v>73.289586730670408</v>
      </c>
      <c r="G67" s="70" t="s">
        <v>29</v>
      </c>
      <c r="H67" s="40"/>
      <c r="I67" s="40"/>
      <c r="J67" s="116"/>
      <c r="K67" s="40"/>
    </row>
    <row r="68" spans="1:11" x14ac:dyDescent="0.2">
      <c r="C68" s="40"/>
      <c r="D68" s="40"/>
      <c r="E68" s="40"/>
      <c r="H68" s="40"/>
      <c r="I68" s="40"/>
      <c r="J68" s="118"/>
      <c r="K68" s="40"/>
    </row>
    <row r="69" spans="1:11" x14ac:dyDescent="0.2">
      <c r="A69" s="108" t="s">
        <v>74</v>
      </c>
      <c r="C69" s="40"/>
      <c r="D69" s="40"/>
      <c r="E69" s="40"/>
      <c r="F69" s="119"/>
      <c r="J69" s="105"/>
    </row>
    <row r="70" spans="1:11" outlineLevel="1" x14ac:dyDescent="0.2">
      <c r="C70" s="40"/>
      <c r="D70" s="40"/>
      <c r="E70" s="40"/>
      <c r="J70" s="105"/>
    </row>
    <row r="71" spans="1:11" outlineLevel="1" x14ac:dyDescent="0.2">
      <c r="C71" s="40"/>
      <c r="D71" s="40"/>
      <c r="E71" s="110" t="s">
        <v>75</v>
      </c>
      <c r="F71" s="99">
        <v>3383.3283627519231</v>
      </c>
      <c r="G71" s="70" t="s">
        <v>29</v>
      </c>
      <c r="J71" s="109"/>
    </row>
    <row r="72" spans="1:11" outlineLevel="1" x14ac:dyDescent="0.2">
      <c r="C72" s="40"/>
      <c r="D72" s="40"/>
      <c r="E72" s="110" t="s">
        <v>76</v>
      </c>
      <c r="F72" s="99">
        <v>4621.0774468957752</v>
      </c>
      <c r="G72" s="70" t="s">
        <v>29</v>
      </c>
      <c r="H72" s="119"/>
      <c r="J72" s="105"/>
    </row>
    <row r="73" spans="1:11" outlineLevel="1" x14ac:dyDescent="0.2">
      <c r="C73" s="40"/>
      <c r="D73" s="40"/>
      <c r="E73" s="110" t="s">
        <v>77</v>
      </c>
      <c r="F73" s="99">
        <v>202.65905094388188</v>
      </c>
      <c r="G73" s="70" t="s">
        <v>29</v>
      </c>
      <c r="J73" s="105"/>
    </row>
    <row r="74" spans="1:11" outlineLevel="1" x14ac:dyDescent="0.2">
      <c r="C74" s="40"/>
      <c r="D74" s="40"/>
      <c r="E74" s="110" t="s">
        <v>78</v>
      </c>
      <c r="F74" s="99">
        <v>510.04781067676237</v>
      </c>
      <c r="G74" s="70" t="s">
        <v>29</v>
      </c>
      <c r="J74" s="105"/>
    </row>
    <row r="75" spans="1:11" outlineLevel="1" x14ac:dyDescent="0.2">
      <c r="C75" s="40"/>
      <c r="D75" s="40"/>
      <c r="E75" s="110" t="s">
        <v>79</v>
      </c>
      <c r="F75" s="99">
        <v>424.18457053875591</v>
      </c>
      <c r="G75" s="70" t="s">
        <v>29</v>
      </c>
      <c r="J75" s="105"/>
    </row>
    <row r="76" spans="1:11" outlineLevel="1" x14ac:dyDescent="0.2">
      <c r="C76" s="40"/>
      <c r="D76" s="40"/>
      <c r="E76" s="110" t="s">
        <v>80</v>
      </c>
      <c r="F76" s="99">
        <v>736.79674057391276</v>
      </c>
      <c r="G76" s="70" t="s">
        <v>29</v>
      </c>
      <c r="J76" s="105"/>
    </row>
    <row r="77" spans="1:11" outlineLevel="1" x14ac:dyDescent="0.2">
      <c r="C77" s="40"/>
      <c r="D77" s="40"/>
      <c r="E77" s="110" t="s">
        <v>81</v>
      </c>
      <c r="F77" s="99">
        <v>46.557253534674892</v>
      </c>
      <c r="G77" s="70" t="s">
        <v>29</v>
      </c>
      <c r="J77" s="105"/>
    </row>
    <row r="78" spans="1:11" outlineLevel="1" x14ac:dyDescent="0.2">
      <c r="C78" s="40"/>
      <c r="D78" s="40"/>
      <c r="E78" s="110" t="s">
        <v>82</v>
      </c>
      <c r="F78" s="99">
        <v>231.92143255440783</v>
      </c>
      <c r="G78" s="70" t="s">
        <v>29</v>
      </c>
      <c r="J78" s="105"/>
    </row>
    <row r="79" spans="1:11" outlineLevel="1" x14ac:dyDescent="0.2">
      <c r="C79" s="40"/>
      <c r="D79" s="40"/>
      <c r="E79" s="110" t="s">
        <v>83</v>
      </c>
      <c r="F79" s="99">
        <v>0</v>
      </c>
      <c r="G79" s="70" t="s">
        <v>29</v>
      </c>
      <c r="J79" s="105"/>
    </row>
    <row r="80" spans="1:11" outlineLevel="1" x14ac:dyDescent="0.2">
      <c r="C80" s="40"/>
      <c r="D80" s="40"/>
      <c r="E80" s="110" t="s">
        <v>84</v>
      </c>
      <c r="F80" s="99">
        <v>149.53400262134264</v>
      </c>
      <c r="G80" s="70" t="s">
        <v>29</v>
      </c>
      <c r="J80" s="105"/>
    </row>
    <row r="81" spans="1:10" outlineLevel="1" x14ac:dyDescent="0.2">
      <c r="C81" s="40"/>
      <c r="D81" s="40"/>
      <c r="E81" s="110" t="s">
        <v>85</v>
      </c>
      <c r="F81" s="99">
        <v>695.42272185895331</v>
      </c>
      <c r="G81" s="70" t="s">
        <v>29</v>
      </c>
      <c r="J81" s="105"/>
    </row>
    <row r="82" spans="1:10" outlineLevel="1" x14ac:dyDescent="0.2">
      <c r="C82" s="40"/>
      <c r="D82" s="40"/>
      <c r="E82" s="110" t="s">
        <v>86</v>
      </c>
      <c r="F82" s="99">
        <v>950.69587210034842</v>
      </c>
      <c r="G82" s="70" t="s">
        <v>29</v>
      </c>
      <c r="J82" s="105"/>
    </row>
    <row r="83" spans="1:10" outlineLevel="1" x14ac:dyDescent="0.2">
      <c r="C83" s="40"/>
      <c r="D83" s="40"/>
      <c r="E83" s="110" t="s">
        <v>87</v>
      </c>
      <c r="F83" s="99">
        <v>131.24972573946249</v>
      </c>
      <c r="G83" s="70" t="s">
        <v>29</v>
      </c>
      <c r="J83" s="105"/>
    </row>
    <row r="84" spans="1:10" outlineLevel="1" x14ac:dyDescent="0.2">
      <c r="C84" s="40"/>
      <c r="D84" s="40"/>
      <c r="E84" s="110" t="s">
        <v>88</v>
      </c>
      <c r="F84" s="99">
        <v>48.761246477182816</v>
      </c>
      <c r="G84" s="70" t="s">
        <v>29</v>
      </c>
      <c r="J84" s="105"/>
    </row>
    <row r="85" spans="1:10" outlineLevel="1" x14ac:dyDescent="0.2">
      <c r="C85" s="40"/>
      <c r="D85" s="40"/>
      <c r="E85" s="110" t="s">
        <v>89</v>
      </c>
      <c r="F85" s="99">
        <v>18.762959090883722</v>
      </c>
      <c r="G85" s="70" t="s">
        <v>29</v>
      </c>
      <c r="J85" s="105"/>
    </row>
    <row r="86" spans="1:10" outlineLevel="1" x14ac:dyDescent="0.2">
      <c r="C86" s="40"/>
      <c r="D86" s="40"/>
      <c r="E86" s="110" t="s">
        <v>90</v>
      </c>
      <c r="F86" s="99">
        <v>476.68623708198032</v>
      </c>
      <c r="G86" s="70" t="s">
        <v>29</v>
      </c>
      <c r="J86" s="105"/>
    </row>
    <row r="87" spans="1:10" outlineLevel="1" x14ac:dyDescent="0.2">
      <c r="C87" s="40"/>
      <c r="D87" s="40"/>
      <c r="E87" s="110" t="s">
        <v>91</v>
      </c>
      <c r="F87" s="99">
        <v>54.885303037832216</v>
      </c>
      <c r="G87" s="70" t="s">
        <v>29</v>
      </c>
      <c r="J87" s="105"/>
    </row>
    <row r="88" spans="1:10" outlineLevel="1" x14ac:dyDescent="0.2">
      <c r="C88" s="40"/>
      <c r="D88" s="40"/>
      <c r="E88" s="110" t="s">
        <v>92</v>
      </c>
      <c r="F88" s="99">
        <v>915.02727688446305</v>
      </c>
      <c r="G88" s="70" t="s">
        <v>29</v>
      </c>
      <c r="J88" s="105"/>
    </row>
    <row r="89" spans="1:10" x14ac:dyDescent="0.2">
      <c r="C89" s="40"/>
      <c r="D89" s="40"/>
      <c r="E89" s="40"/>
    </row>
    <row r="90" spans="1:10" x14ac:dyDescent="0.2">
      <c r="A90" s="108" t="s">
        <v>93</v>
      </c>
      <c r="C90" s="40"/>
      <c r="D90" s="40"/>
      <c r="E90" s="40"/>
    </row>
    <row r="91" spans="1:10" outlineLevel="1" x14ac:dyDescent="0.2">
      <c r="C91" s="40"/>
      <c r="D91" s="40"/>
      <c r="E91" s="40"/>
    </row>
    <row r="92" spans="1:10" outlineLevel="1" x14ac:dyDescent="0.2">
      <c r="C92" s="40"/>
      <c r="D92" s="40"/>
      <c r="E92" s="40" t="s">
        <v>94</v>
      </c>
      <c r="F92" s="98">
        <v>1000</v>
      </c>
      <c r="G92" s="70" t="s">
        <v>95</v>
      </c>
    </row>
    <row r="93" spans="1:10" x14ac:dyDescent="0.2">
      <c r="C93" s="40"/>
      <c r="D93" s="40"/>
      <c r="E93" s="40" t="s">
        <v>96</v>
      </c>
      <c r="F93" s="98">
        <v>12</v>
      </c>
      <c r="G93" s="70" t="s">
        <v>97</v>
      </c>
    </row>
    <row r="94" spans="1:10" x14ac:dyDescent="0.2">
      <c r="C94" s="40"/>
      <c r="D94" s="40"/>
      <c r="E94" s="40"/>
    </row>
    <row r="95" spans="1:10" x14ac:dyDescent="0.2">
      <c r="C95" s="40"/>
      <c r="D95" s="40"/>
      <c r="E95" s="40"/>
    </row>
    <row r="96" spans="1:10" x14ac:dyDescent="0.2">
      <c r="B96" s="40" t="s">
        <v>98</v>
      </c>
      <c r="C96" s="40"/>
      <c r="D96" s="40"/>
      <c r="E96" s="40"/>
    </row>
    <row r="97" spans="3:5" x14ac:dyDescent="0.2">
      <c r="C97" s="40"/>
      <c r="D97" s="40"/>
      <c r="E97" s="40"/>
    </row>
    <row r="98" spans="3:5" x14ac:dyDescent="0.2">
      <c r="C98" s="40"/>
      <c r="D98" s="40"/>
      <c r="E98" s="40"/>
    </row>
    <row r="99" spans="3:5" x14ac:dyDescent="0.2">
      <c r="C99" s="40"/>
      <c r="D99" s="40"/>
      <c r="E99" s="40"/>
    </row>
    <row r="100" spans="3:5" x14ac:dyDescent="0.2">
      <c r="C100" s="40"/>
      <c r="D100" s="40"/>
      <c r="E100" s="40"/>
    </row>
    <row r="101" spans="3:5" x14ac:dyDescent="0.2">
      <c r="C101" s="40"/>
      <c r="D101" s="40"/>
      <c r="E101" s="40"/>
    </row>
    <row r="102" spans="3:5" x14ac:dyDescent="0.2">
      <c r="C102" s="40"/>
      <c r="D102" s="40"/>
      <c r="E102" s="40"/>
    </row>
    <row r="103" spans="3:5" x14ac:dyDescent="0.2">
      <c r="C103" s="40"/>
      <c r="D103" s="40"/>
      <c r="E103" s="40"/>
    </row>
    <row r="104" spans="3:5" x14ac:dyDescent="0.2">
      <c r="C104" s="40"/>
      <c r="D104" s="40"/>
      <c r="E104" s="40"/>
    </row>
    <row r="105" spans="3:5" x14ac:dyDescent="0.2">
      <c r="C105" s="40"/>
      <c r="D105" s="40"/>
      <c r="E105" s="40"/>
    </row>
    <row r="106" spans="3:5" x14ac:dyDescent="0.2">
      <c r="C106" s="40"/>
      <c r="D106" s="40"/>
      <c r="E106" s="40"/>
    </row>
    <row r="107" spans="3:5" x14ac:dyDescent="0.2">
      <c r="C107" s="40"/>
      <c r="D107" s="40"/>
      <c r="E107" s="40"/>
    </row>
    <row r="108" spans="3:5" x14ac:dyDescent="0.2">
      <c r="C108" s="40"/>
      <c r="D108" s="40"/>
      <c r="E108" s="40"/>
    </row>
    <row r="109" spans="3:5" x14ac:dyDescent="0.2">
      <c r="C109" s="40"/>
      <c r="D109" s="40"/>
      <c r="E109" s="40"/>
    </row>
    <row r="110" spans="3:5" x14ac:dyDescent="0.2">
      <c r="C110" s="40"/>
      <c r="D110" s="40"/>
      <c r="E110" s="40"/>
    </row>
    <row r="111" spans="3:5" x14ac:dyDescent="0.2">
      <c r="C111" s="40"/>
      <c r="D111" s="40"/>
      <c r="E111" s="40"/>
    </row>
    <row r="112" spans="3:5" x14ac:dyDescent="0.2">
      <c r="C112" s="40"/>
      <c r="D112" s="40"/>
      <c r="E112" s="40"/>
    </row>
    <row r="113" spans="3:5" x14ac:dyDescent="0.2">
      <c r="C113" s="40"/>
      <c r="D113" s="40"/>
      <c r="E113" s="40"/>
    </row>
    <row r="114" spans="3:5" x14ac:dyDescent="0.2">
      <c r="C114" s="40"/>
      <c r="D114" s="40"/>
      <c r="E114" s="40"/>
    </row>
    <row r="115" spans="3:5" x14ac:dyDescent="0.2">
      <c r="C115" s="40"/>
      <c r="D115" s="40"/>
      <c r="E115" s="40"/>
    </row>
    <row r="116" spans="3:5" x14ac:dyDescent="0.2">
      <c r="C116" s="40"/>
      <c r="D116" s="40"/>
      <c r="E116" s="40"/>
    </row>
  </sheetData>
  <conditionalFormatting sqref="F2">
    <cfRule type="cellIs" dxfId="82" priority="3" stopIfTrue="1" operator="equal">
      <formula>""</formula>
    </cfRule>
  </conditionalFormatting>
  <conditionalFormatting sqref="F2:F3">
    <cfRule type="cellIs" dxfId="81" priority="1" stopIfTrue="1" operator="notEqual">
      <formula>0</formula>
    </cfRule>
  </conditionalFormatting>
  <conditionalFormatting sqref="J3:S3">
    <cfRule type="cellIs" dxfId="80" priority="4" operator="equal">
      <formula>"PPA ext."</formula>
    </cfRule>
    <cfRule type="cellIs" dxfId="79" priority="5" operator="equal">
      <formula>"Delay"</formula>
    </cfRule>
    <cfRule type="cellIs" dxfId="78" priority="6" operator="equal">
      <formula>"Fin Close"</formula>
    </cfRule>
    <cfRule type="cellIs" dxfId="77" priority="7" stopIfTrue="1" operator="equal">
      <formula>"Construction"</formula>
    </cfRule>
    <cfRule type="cellIs" dxfId="76" priority="8" stopIfTrue="1" operator="equal">
      <formula>"Operations"</formula>
    </cfRule>
  </conditionalFormatting>
  <pageMargins left="0.70866141732283472" right="0.70866141732283472" top="0.74803149606299213" bottom="0.74803149606299213" header="0.31496062992125984" footer="0.31496062992125984"/>
  <pageSetup paperSize="9" scale="50" orientation="portrait" r:id="rId1"/>
  <headerFooter>
    <oddHeader>&amp;L&amp;"-,Regular"&amp;9&amp;K63656APage &amp;P of &amp;N&amp;C&amp;"-,Regular"&amp;9&amp;K63656A&amp;F&amp;R&amp;G</oddHeader>
    <oddFooter>&amp;LSheet: &amp;A&amp;RPrinted on &amp;D at &amp;T</oddFooter>
  </headerFooter>
  <customProperties>
    <customPr name="MMSheetType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fitToPage="1"/>
  </sheetPr>
  <dimension ref="A1:S37"/>
  <sheetViews>
    <sheetView showGridLines="0" workbookViewId="0">
      <pane xSplit="9" ySplit="5" topLeftCell="J6" activePane="bottomRight" state="frozen"/>
      <selection pane="topRight"/>
      <selection pane="bottomLeft"/>
      <selection pane="bottomRight" activeCell="J6" sqref="J6"/>
    </sheetView>
  </sheetViews>
  <sheetFormatPr defaultColWidth="0" defaultRowHeight="13" outlineLevelRow="1" x14ac:dyDescent="0.2"/>
  <cols>
    <col min="1" max="4" width="1.44140625" style="70" customWidth="1"/>
    <col min="5" max="5" width="30.109375" style="70" bestFit="1" customWidth="1"/>
    <col min="6" max="6" width="18.6640625" style="70" bestFit="1" customWidth="1"/>
    <col min="7" max="7" width="11.33203125" style="70" bestFit="1" customWidth="1"/>
    <col min="8" max="8" width="6.6640625" style="70" bestFit="1" customWidth="1"/>
    <col min="9" max="9" width="3.44140625" style="70" customWidth="1"/>
    <col min="10" max="19" width="11.44140625" style="70" bestFit="1" customWidth="1"/>
    <col min="20" max="20" width="15.109375" style="70" hidden="1" customWidth="1"/>
    <col min="21" max="16384" width="15.109375" style="70" hidden="1"/>
  </cols>
  <sheetData>
    <row r="1" spans="1:19" s="20" customFormat="1" ht="26" x14ac:dyDescent="0.2">
      <c r="A1" s="25" t="str">
        <f ca="1" xml:space="preserve"> RIGHT(CELL("filename", A1), LEN(CELL("filename", A1)) - SEARCH("]", CELL("filename", A1)))</f>
        <v>Time</v>
      </c>
      <c r="B1" s="19"/>
      <c r="C1" s="21"/>
      <c r="D1" s="17"/>
      <c r="F1" s="18" t="str">
        <f>HYPERLINK("#Contents!A1","Go to contents")</f>
        <v>Go to contents</v>
      </c>
      <c r="H1" s="12"/>
      <c r="J1" s="12"/>
    </row>
    <row r="2" spans="1:19" s="16" customFormat="1" x14ac:dyDescent="0.2">
      <c r="A2" s="13"/>
      <c r="B2" s="13"/>
      <c r="C2" s="23"/>
      <c r="D2" s="22"/>
      <c r="E2" s="6" t="s">
        <v>14</v>
      </c>
      <c r="F2" s="15">
        <v>0</v>
      </c>
      <c r="G2" s="14" t="s">
        <v>15</v>
      </c>
      <c r="H2" s="6"/>
      <c r="I2" s="6"/>
      <c r="J2" s="2">
        <f t="shared" ref="J2:S2" si="0" xml:space="preserve"> J$13</f>
        <v>44286</v>
      </c>
      <c r="K2" s="2">
        <f t="shared" si="0"/>
        <v>44651</v>
      </c>
      <c r="L2" s="2">
        <f t="shared" si="0"/>
        <v>45016</v>
      </c>
      <c r="M2" s="2">
        <f t="shared" si="0"/>
        <v>45382</v>
      </c>
      <c r="N2" s="2">
        <f t="shared" si="0"/>
        <v>45747</v>
      </c>
      <c r="O2" s="2">
        <f t="shared" si="0"/>
        <v>46112</v>
      </c>
      <c r="P2" s="2">
        <f t="shared" si="0"/>
        <v>46477</v>
      </c>
      <c r="Q2" s="2">
        <f t="shared" si="0"/>
        <v>46843</v>
      </c>
      <c r="R2" s="2">
        <f t="shared" si="0"/>
        <v>47208</v>
      </c>
      <c r="S2" s="2">
        <f t="shared" si="0"/>
        <v>47573</v>
      </c>
    </row>
    <row r="3" spans="1:19" s="11" customFormat="1" x14ac:dyDescent="0.2">
      <c r="A3" s="13"/>
      <c r="B3" s="13"/>
      <c r="C3" s="23"/>
      <c r="D3" s="22"/>
      <c r="E3" s="9" t="s">
        <v>16</v>
      </c>
      <c r="F3" s="15"/>
      <c r="G3" s="14" t="s">
        <v>17</v>
      </c>
      <c r="H3" s="6"/>
      <c r="I3" s="6"/>
      <c r="J3" s="3" t="str">
        <f t="shared" ref="J3:S3" si="1" xml:space="preserve"> J$18</f>
        <v>PR19</v>
      </c>
      <c r="K3" s="3" t="str">
        <f t="shared" si="1"/>
        <v>PR19</v>
      </c>
      <c r="L3" s="3" t="str">
        <f t="shared" si="1"/>
        <v>PR19</v>
      </c>
      <c r="M3" s="3" t="str">
        <f t="shared" si="1"/>
        <v>PR19</v>
      </c>
      <c r="N3" s="3" t="str">
        <f t="shared" si="1"/>
        <v>PR19</v>
      </c>
      <c r="O3" s="3" t="str">
        <f t="shared" si="1"/>
        <v>PR24</v>
      </c>
      <c r="P3" s="3" t="str">
        <f t="shared" si="1"/>
        <v>PR24</v>
      </c>
      <c r="Q3" s="3" t="str">
        <f t="shared" si="1"/>
        <v>PR24</v>
      </c>
      <c r="R3" s="3" t="str">
        <f t="shared" si="1"/>
        <v>PR24</v>
      </c>
      <c r="S3" s="3" t="str">
        <f t="shared" si="1"/>
        <v>PR24</v>
      </c>
    </row>
    <row r="4" spans="1:19" s="10" customFormat="1" x14ac:dyDescent="0.2">
      <c r="A4" s="13"/>
      <c r="B4" s="13"/>
      <c r="C4" s="23"/>
      <c r="D4" s="22"/>
      <c r="E4" s="6" t="s">
        <v>18</v>
      </c>
      <c r="F4" s="7"/>
      <c r="G4" s="6"/>
      <c r="H4" s="6"/>
      <c r="I4" s="6"/>
      <c r="J4" s="10">
        <f t="shared" ref="J4:S4" si="2" xml:space="preserve"> J$23</f>
        <v>1</v>
      </c>
      <c r="K4" s="10">
        <f t="shared" si="2"/>
        <v>2</v>
      </c>
      <c r="L4" s="10">
        <f t="shared" si="2"/>
        <v>3</v>
      </c>
      <c r="M4" s="10">
        <f t="shared" si="2"/>
        <v>4</v>
      </c>
      <c r="N4" s="10">
        <f t="shared" si="2"/>
        <v>5</v>
      </c>
      <c r="O4" s="10">
        <f t="shared" si="2"/>
        <v>6</v>
      </c>
      <c r="P4" s="10">
        <f t="shared" si="2"/>
        <v>7</v>
      </c>
      <c r="Q4" s="10">
        <f t="shared" si="2"/>
        <v>8</v>
      </c>
      <c r="R4" s="10">
        <f t="shared" si="2"/>
        <v>9</v>
      </c>
      <c r="S4" s="10">
        <f t="shared" si="2"/>
        <v>10</v>
      </c>
    </row>
    <row r="5" spans="1:19" s="11" customFormat="1" x14ac:dyDescent="0.2">
      <c r="A5" s="13"/>
      <c r="B5" s="13"/>
      <c r="C5" s="23"/>
      <c r="D5" s="22"/>
      <c r="E5" s="6" t="s">
        <v>19</v>
      </c>
      <c r="F5" s="7" t="s">
        <v>20</v>
      </c>
      <c r="G5" s="7" t="s">
        <v>21</v>
      </c>
      <c r="H5" s="7" t="s">
        <v>22</v>
      </c>
      <c r="I5" s="6"/>
      <c r="J5" s="1">
        <f t="shared" ref="J5:S5" si="3" xml:space="preserve"> J$27</f>
        <v>1</v>
      </c>
      <c r="K5" s="1">
        <f t="shared" si="3"/>
        <v>2</v>
      </c>
      <c r="L5" s="1">
        <f t="shared" si="3"/>
        <v>3</v>
      </c>
      <c r="M5" s="1">
        <f t="shared" si="3"/>
        <v>4</v>
      </c>
      <c r="N5" s="1">
        <f t="shared" si="3"/>
        <v>5</v>
      </c>
      <c r="O5" s="1">
        <f t="shared" si="3"/>
        <v>6</v>
      </c>
      <c r="P5" s="1">
        <f t="shared" si="3"/>
        <v>7</v>
      </c>
      <c r="Q5" s="1">
        <f t="shared" si="3"/>
        <v>8</v>
      </c>
      <c r="R5" s="1">
        <f t="shared" si="3"/>
        <v>9</v>
      </c>
      <c r="S5" s="1">
        <f t="shared" si="3"/>
        <v>10</v>
      </c>
    </row>
    <row r="6" spans="1:19" s="9" customFormat="1" x14ac:dyDescent="0.2">
      <c r="A6" s="7"/>
      <c r="B6" s="7"/>
      <c r="C6" s="24"/>
      <c r="F6" s="7"/>
      <c r="G6" s="7"/>
      <c r="H6" s="7"/>
    </row>
    <row r="9" spans="1:19" collapsed="1" x14ac:dyDescent="0.2">
      <c r="A9" s="69" t="s">
        <v>99</v>
      </c>
    </row>
    <row r="10" spans="1:19" hidden="1" outlineLevel="1" x14ac:dyDescent="0.2">
      <c r="B10" s="69" t="s">
        <v>100</v>
      </c>
    </row>
    <row r="11" spans="1:19" hidden="1" outlineLevel="1" x14ac:dyDescent="0.2">
      <c r="A11" s="71"/>
      <c r="B11" s="71"/>
      <c r="C11" s="71"/>
      <c r="D11" s="71"/>
      <c r="E11" s="72" t="str">
        <f xml:space="preserve">  InpS!E$93</f>
        <v>Months per period (Primary)</v>
      </c>
      <c r="F11" s="72">
        <f xml:space="preserve">  InpS!F$93</f>
        <v>12</v>
      </c>
      <c r="G11" s="72" t="str">
        <f xml:space="preserve">  InpS!G$93</f>
        <v>Months</v>
      </c>
      <c r="M11" s="73"/>
    </row>
    <row r="12" spans="1:19" hidden="1" outlineLevel="1" x14ac:dyDescent="0.2">
      <c r="E12" s="74" t="str">
        <f t="shared" ref="E12:S12" si="4" xml:space="preserve">  E$34</f>
        <v>Model period start</v>
      </c>
      <c r="F12" s="74">
        <f t="shared" si="4"/>
        <v>0</v>
      </c>
      <c r="G12" s="74" t="str">
        <f t="shared" si="4"/>
        <v>date</v>
      </c>
      <c r="H12" s="74">
        <f t="shared" si="4"/>
        <v>0</v>
      </c>
      <c r="I12" s="74">
        <f t="shared" si="4"/>
        <v>0</v>
      </c>
      <c r="J12" s="74">
        <f t="shared" si="4"/>
        <v>43922</v>
      </c>
      <c r="K12" s="74">
        <f t="shared" si="4"/>
        <v>44287</v>
      </c>
      <c r="L12" s="74">
        <f t="shared" si="4"/>
        <v>44652</v>
      </c>
      <c r="M12" s="74">
        <f t="shared" si="4"/>
        <v>45017</v>
      </c>
      <c r="N12" s="74">
        <f t="shared" si="4"/>
        <v>45383</v>
      </c>
      <c r="O12" s="74">
        <f t="shared" si="4"/>
        <v>45748</v>
      </c>
      <c r="P12" s="74">
        <f t="shared" si="4"/>
        <v>46113</v>
      </c>
      <c r="Q12" s="74">
        <f t="shared" si="4"/>
        <v>46478</v>
      </c>
      <c r="R12" s="74">
        <f t="shared" si="4"/>
        <v>46844</v>
      </c>
      <c r="S12" s="74">
        <f t="shared" si="4"/>
        <v>47209</v>
      </c>
    </row>
    <row r="13" spans="1:19" hidden="1" outlineLevel="1" x14ac:dyDescent="0.2">
      <c r="A13" s="75"/>
      <c r="B13" s="75"/>
      <c r="C13" s="75"/>
      <c r="D13" s="75"/>
      <c r="E13" s="75" t="s">
        <v>100</v>
      </c>
      <c r="F13" s="75"/>
      <c r="G13" s="75" t="s">
        <v>25</v>
      </c>
      <c r="H13" s="75"/>
      <c r="I13" s="75"/>
      <c r="J13" s="76">
        <f t="shared" ref="J13:S13" si="5" xml:space="preserve">  EDATE( J12, $F11 ) - 1</f>
        <v>44286</v>
      </c>
      <c r="K13" s="76">
        <f t="shared" si="5"/>
        <v>44651</v>
      </c>
      <c r="L13" s="76">
        <f t="shared" si="5"/>
        <v>45016</v>
      </c>
      <c r="M13" s="76">
        <f t="shared" si="5"/>
        <v>45382</v>
      </c>
      <c r="N13" s="76">
        <f t="shared" si="5"/>
        <v>45747</v>
      </c>
      <c r="O13" s="76">
        <f t="shared" si="5"/>
        <v>46112</v>
      </c>
      <c r="P13" s="76">
        <f t="shared" si="5"/>
        <v>46477</v>
      </c>
      <c r="Q13" s="76">
        <f t="shared" si="5"/>
        <v>46843</v>
      </c>
      <c r="R13" s="76">
        <f t="shared" si="5"/>
        <v>47208</v>
      </c>
      <c r="S13" s="76">
        <f t="shared" si="5"/>
        <v>47573</v>
      </c>
    </row>
    <row r="14" spans="1:19" hidden="1" outlineLevel="1" x14ac:dyDescent="0.2"/>
    <row r="15" spans="1:19" hidden="1" outlineLevel="1" x14ac:dyDescent="0.2"/>
    <row r="16" spans="1:19" hidden="1" outlineLevel="1" x14ac:dyDescent="0.2">
      <c r="B16" s="69" t="s">
        <v>16</v>
      </c>
    </row>
    <row r="17" spans="1:19" hidden="1" outlineLevel="1" x14ac:dyDescent="0.2">
      <c r="E17" s="77" t="str">
        <f t="shared" ref="E17:S17" si="6" xml:space="preserve">  E$27</f>
        <v>Period number</v>
      </c>
      <c r="F17" s="77">
        <f t="shared" si="6"/>
        <v>0</v>
      </c>
      <c r="G17" s="77" t="str">
        <f t="shared" si="6"/>
        <v>Counter</v>
      </c>
      <c r="H17" s="77">
        <f t="shared" si="6"/>
        <v>0</v>
      </c>
      <c r="I17" s="77">
        <f t="shared" si="6"/>
        <v>0</v>
      </c>
      <c r="J17" s="77">
        <f t="shared" si="6"/>
        <v>1</v>
      </c>
      <c r="K17" s="77">
        <f t="shared" si="6"/>
        <v>2</v>
      </c>
      <c r="L17" s="77">
        <f t="shared" si="6"/>
        <v>3</v>
      </c>
      <c r="M17" s="77">
        <f t="shared" si="6"/>
        <v>4</v>
      </c>
      <c r="N17" s="77">
        <f t="shared" si="6"/>
        <v>5</v>
      </c>
      <c r="O17" s="77">
        <f t="shared" si="6"/>
        <v>6</v>
      </c>
      <c r="P17" s="77">
        <f t="shared" si="6"/>
        <v>7</v>
      </c>
      <c r="Q17" s="77">
        <f t="shared" si="6"/>
        <v>8</v>
      </c>
      <c r="R17" s="77">
        <f t="shared" si="6"/>
        <v>9</v>
      </c>
      <c r="S17" s="77">
        <f t="shared" si="6"/>
        <v>10</v>
      </c>
    </row>
    <row r="18" spans="1:19" hidden="1" outlineLevel="1" x14ac:dyDescent="0.2">
      <c r="A18" s="75"/>
      <c r="B18" s="75"/>
      <c r="C18" s="75"/>
      <c r="D18" s="75"/>
      <c r="E18" s="75" t="s">
        <v>16</v>
      </c>
      <c r="F18" s="75"/>
      <c r="G18" s="75"/>
      <c r="H18" s="78">
        <f xml:space="preserve"> SUM( J18:S18 )</f>
        <v>0</v>
      </c>
      <c r="I18" s="75"/>
      <c r="J18" s="78" t="str">
        <f t="shared" ref="J18:S18" si="7" xml:space="preserve">  IF( J17 &lt;= 5, "PR19", "PR24" )</f>
        <v>PR19</v>
      </c>
      <c r="K18" s="78" t="str">
        <f t="shared" si="7"/>
        <v>PR19</v>
      </c>
      <c r="L18" s="78" t="str">
        <f t="shared" si="7"/>
        <v>PR19</v>
      </c>
      <c r="M18" s="78" t="str">
        <f t="shared" si="7"/>
        <v>PR19</v>
      </c>
      <c r="N18" s="78" t="str">
        <f t="shared" si="7"/>
        <v>PR19</v>
      </c>
      <c r="O18" s="78" t="str">
        <f t="shared" si="7"/>
        <v>PR24</v>
      </c>
      <c r="P18" s="78" t="str">
        <f t="shared" si="7"/>
        <v>PR24</v>
      </c>
      <c r="Q18" s="78" t="str">
        <f t="shared" si="7"/>
        <v>PR24</v>
      </c>
      <c r="R18" s="78" t="str">
        <f t="shared" si="7"/>
        <v>PR24</v>
      </c>
      <c r="S18" s="78" t="str">
        <f t="shared" si="7"/>
        <v>PR24</v>
      </c>
    </row>
    <row r="19" spans="1:19" hidden="1" outlineLevel="1" x14ac:dyDescent="0.2"/>
    <row r="20" spans="1:19" hidden="1" outlineLevel="1" x14ac:dyDescent="0.2"/>
    <row r="21" spans="1:19" hidden="1" outlineLevel="1" x14ac:dyDescent="0.2">
      <c r="B21" s="69" t="s">
        <v>18</v>
      </c>
    </row>
    <row r="22" spans="1:19" hidden="1" outlineLevel="1" x14ac:dyDescent="0.2">
      <c r="E22" s="77" t="str">
        <f t="shared" ref="E22:S22" si="8" xml:space="preserve">  E$27</f>
        <v>Period number</v>
      </c>
      <c r="F22" s="77">
        <f t="shared" si="8"/>
        <v>0</v>
      </c>
      <c r="G22" s="77" t="str">
        <f t="shared" si="8"/>
        <v>Counter</v>
      </c>
      <c r="H22" s="77">
        <f t="shared" si="8"/>
        <v>0</v>
      </c>
      <c r="I22" s="77">
        <f t="shared" si="8"/>
        <v>0</v>
      </c>
      <c r="J22" s="77">
        <f t="shared" si="8"/>
        <v>1</v>
      </c>
      <c r="K22" s="77">
        <f t="shared" si="8"/>
        <v>2</v>
      </c>
      <c r="L22" s="77">
        <f t="shared" si="8"/>
        <v>3</v>
      </c>
      <c r="M22" s="77">
        <f t="shared" si="8"/>
        <v>4</v>
      </c>
      <c r="N22" s="77">
        <f t="shared" si="8"/>
        <v>5</v>
      </c>
      <c r="O22" s="77">
        <f t="shared" si="8"/>
        <v>6</v>
      </c>
      <c r="P22" s="77">
        <f t="shared" si="8"/>
        <v>7</v>
      </c>
      <c r="Q22" s="77">
        <f t="shared" si="8"/>
        <v>8</v>
      </c>
      <c r="R22" s="77">
        <f t="shared" si="8"/>
        <v>9</v>
      </c>
      <c r="S22" s="77">
        <f t="shared" si="8"/>
        <v>10</v>
      </c>
    </row>
    <row r="23" spans="1:19" hidden="1" outlineLevel="1" x14ac:dyDescent="0.2">
      <c r="A23" s="75"/>
      <c r="B23" s="75"/>
      <c r="C23" s="75"/>
      <c r="D23" s="75"/>
      <c r="E23" s="75" t="s">
        <v>18</v>
      </c>
      <c r="F23" s="75"/>
      <c r="G23" s="75" t="s">
        <v>101</v>
      </c>
      <c r="H23" s="75"/>
      <c r="I23" s="75"/>
      <c r="J23" s="79">
        <f t="shared" ref="J23:S23" si="9" xml:space="preserve">  J22</f>
        <v>1</v>
      </c>
      <c r="K23" s="79">
        <f t="shared" si="9"/>
        <v>2</v>
      </c>
      <c r="L23" s="79">
        <f t="shared" si="9"/>
        <v>3</v>
      </c>
      <c r="M23" s="79">
        <f t="shared" si="9"/>
        <v>4</v>
      </c>
      <c r="N23" s="79">
        <f t="shared" si="9"/>
        <v>5</v>
      </c>
      <c r="O23" s="79">
        <f t="shared" si="9"/>
        <v>6</v>
      </c>
      <c r="P23" s="79">
        <f t="shared" si="9"/>
        <v>7</v>
      </c>
      <c r="Q23" s="79">
        <f t="shared" si="9"/>
        <v>8</v>
      </c>
      <c r="R23" s="79">
        <f t="shared" si="9"/>
        <v>9</v>
      </c>
      <c r="S23" s="79">
        <f t="shared" si="9"/>
        <v>10</v>
      </c>
    </row>
    <row r="24" spans="1:19" hidden="1" outlineLevel="1" x14ac:dyDescent="0.2"/>
    <row r="25" spans="1:19" hidden="1" outlineLevel="1" x14ac:dyDescent="0.2"/>
    <row r="26" spans="1:19" hidden="1" outlineLevel="1" x14ac:dyDescent="0.2">
      <c r="B26" s="69" t="s">
        <v>102</v>
      </c>
    </row>
    <row r="27" spans="1:19" hidden="1" outlineLevel="1" x14ac:dyDescent="0.2">
      <c r="A27" s="75"/>
      <c r="B27" s="75"/>
      <c r="C27" s="75"/>
      <c r="D27" s="75"/>
      <c r="E27" s="75" t="s">
        <v>102</v>
      </c>
      <c r="F27" s="75"/>
      <c r="G27" s="75" t="s">
        <v>101</v>
      </c>
      <c r="H27" s="75"/>
      <c r="I27" s="75"/>
      <c r="J27" s="79">
        <f t="shared" ref="J27:S27" si="10" xml:space="preserve">  I27 + 1</f>
        <v>1</v>
      </c>
      <c r="K27" s="79">
        <f t="shared" si="10"/>
        <v>2</v>
      </c>
      <c r="L27" s="79">
        <f t="shared" si="10"/>
        <v>3</v>
      </c>
      <c r="M27" s="79">
        <f t="shared" si="10"/>
        <v>4</v>
      </c>
      <c r="N27" s="79">
        <f t="shared" si="10"/>
        <v>5</v>
      </c>
      <c r="O27" s="79">
        <f t="shared" si="10"/>
        <v>6</v>
      </c>
      <c r="P27" s="79">
        <f t="shared" si="10"/>
        <v>7</v>
      </c>
      <c r="Q27" s="79">
        <f t="shared" si="10"/>
        <v>8</v>
      </c>
      <c r="R27" s="79">
        <f t="shared" si="10"/>
        <v>9</v>
      </c>
      <c r="S27" s="79">
        <f t="shared" si="10"/>
        <v>10</v>
      </c>
    </row>
    <row r="28" spans="1:19" hidden="1" outlineLevel="1" x14ac:dyDescent="0.2"/>
    <row r="30" spans="1:19" x14ac:dyDescent="0.2">
      <c r="B30" s="69" t="s">
        <v>103</v>
      </c>
    </row>
    <row r="31" spans="1:19" x14ac:dyDescent="0.2">
      <c r="A31" s="71"/>
      <c r="B31" s="71"/>
      <c r="C31" s="71"/>
      <c r="D31" s="71"/>
      <c r="E31" s="80" t="str">
        <f xml:space="preserve">  InpS!E$10</f>
        <v>Start date</v>
      </c>
      <c r="F31" s="80">
        <f xml:space="preserve">  InpS!F$10</f>
        <v>43922</v>
      </c>
      <c r="G31" s="80" t="str">
        <f xml:space="preserve">  InpS!G$10</f>
        <v>date</v>
      </c>
      <c r="M31" s="74"/>
    </row>
    <row r="32" spans="1:19" x14ac:dyDescent="0.2">
      <c r="A32" s="71"/>
      <c r="B32" s="71"/>
      <c r="C32" s="71"/>
      <c r="D32" s="71"/>
      <c r="E32" s="72" t="str">
        <f xml:space="preserve">  InpS!E$93</f>
        <v>Months per period (Primary)</v>
      </c>
      <c r="F32" s="72">
        <f xml:space="preserve">  InpS!F$93</f>
        <v>12</v>
      </c>
      <c r="G32" s="72" t="str">
        <f xml:space="preserve">  InpS!G$93</f>
        <v>Months</v>
      </c>
      <c r="M32" s="73"/>
    </row>
    <row r="33" spans="2:19" x14ac:dyDescent="0.2">
      <c r="E33" s="77" t="str">
        <f t="shared" ref="E33:S33" si="11" xml:space="preserve">  E$27</f>
        <v>Period number</v>
      </c>
      <c r="F33" s="77">
        <f t="shared" si="11"/>
        <v>0</v>
      </c>
      <c r="G33" s="77" t="str">
        <f t="shared" si="11"/>
        <v>Counter</v>
      </c>
      <c r="H33" s="77">
        <f t="shared" si="11"/>
        <v>0</v>
      </c>
      <c r="I33" s="77">
        <f t="shared" si="11"/>
        <v>0</v>
      </c>
      <c r="J33" s="77">
        <f t="shared" si="11"/>
        <v>1</v>
      </c>
      <c r="K33" s="77">
        <f t="shared" si="11"/>
        <v>2</v>
      </c>
      <c r="L33" s="77">
        <f t="shared" si="11"/>
        <v>3</v>
      </c>
      <c r="M33" s="77">
        <f t="shared" si="11"/>
        <v>4</v>
      </c>
      <c r="N33" s="77">
        <f t="shared" si="11"/>
        <v>5</v>
      </c>
      <c r="O33" s="77">
        <f t="shared" si="11"/>
        <v>6</v>
      </c>
      <c r="P33" s="77">
        <f t="shared" si="11"/>
        <v>7</v>
      </c>
      <c r="Q33" s="77">
        <f t="shared" si="11"/>
        <v>8</v>
      </c>
      <c r="R33" s="77">
        <f t="shared" si="11"/>
        <v>9</v>
      </c>
      <c r="S33" s="77">
        <f t="shared" si="11"/>
        <v>10</v>
      </c>
    </row>
    <row r="34" spans="2:19" x14ac:dyDescent="0.2">
      <c r="E34" s="70" t="s">
        <v>103</v>
      </c>
      <c r="G34" s="70" t="s">
        <v>25</v>
      </c>
      <c r="J34" s="74">
        <f t="shared" ref="J34:S34" si="12" xml:space="preserve">  IF( J33 = 1, $F31, EDATE( I34, $F32 ) )</f>
        <v>43922</v>
      </c>
      <c r="K34" s="74">
        <f t="shared" si="12"/>
        <v>44287</v>
      </c>
      <c r="L34" s="74">
        <f t="shared" si="12"/>
        <v>44652</v>
      </c>
      <c r="M34" s="74">
        <f t="shared" si="12"/>
        <v>45017</v>
      </c>
      <c r="N34" s="74">
        <f t="shared" si="12"/>
        <v>45383</v>
      </c>
      <c r="O34" s="74">
        <f t="shared" si="12"/>
        <v>45748</v>
      </c>
      <c r="P34" s="74">
        <f t="shared" si="12"/>
        <v>46113</v>
      </c>
      <c r="Q34" s="74">
        <f t="shared" si="12"/>
        <v>46478</v>
      </c>
      <c r="R34" s="74">
        <f t="shared" si="12"/>
        <v>46844</v>
      </c>
      <c r="S34" s="74">
        <f t="shared" si="12"/>
        <v>47209</v>
      </c>
    </row>
    <row r="37" spans="2:19" x14ac:dyDescent="0.2">
      <c r="B37" s="70" t="s">
        <v>98</v>
      </c>
    </row>
  </sheetData>
  <conditionalFormatting sqref="F2">
    <cfRule type="cellIs" dxfId="75" priority="3" stopIfTrue="1" operator="equal">
      <formula>""</formula>
    </cfRule>
  </conditionalFormatting>
  <conditionalFormatting sqref="F2:F3">
    <cfRule type="cellIs" dxfId="74" priority="1" stopIfTrue="1" operator="notEqual">
      <formula>0</formula>
    </cfRule>
  </conditionalFormatting>
  <conditionalFormatting sqref="J3:S3">
    <cfRule type="cellIs" dxfId="73" priority="9" operator="equal">
      <formula>"PPA ext."</formula>
    </cfRule>
    <cfRule type="cellIs" dxfId="72" priority="10" operator="equal">
      <formula>"Delay"</formula>
    </cfRule>
    <cfRule type="cellIs" dxfId="71" priority="11" operator="equal">
      <formula>"Fin Close"</formula>
    </cfRule>
    <cfRule type="cellIs" dxfId="70" priority="12" stopIfTrue="1" operator="equal">
      <formula>"Construction"</formula>
    </cfRule>
    <cfRule type="cellIs" dxfId="69" priority="13" stopIfTrue="1" operator="equal">
      <formula>"Operations"</formula>
    </cfRule>
  </conditionalFormatting>
  <pageMargins left="0.70866141732283472" right="0.70866141732283472" top="0.74803149606299213" bottom="0.74803149606299213" header="0.31496062992125984" footer="0.31496062992125984"/>
  <pageSetup paperSize="9" scale="50" orientation="portrait" r:id="rId1"/>
  <headerFooter>
    <oddHeader>&amp;L&amp;"-,Regular"&amp;9&amp;K63656APage &amp;P of &amp;N&amp;C&amp;"-,Regular"&amp;9&amp;K63656A&amp;F&amp;R&amp;G</oddHeader>
    <oddFooter>&amp;LSheet: &amp;A&amp;RPrinted on &amp;D at &amp;T</oddFooter>
  </headerFooter>
  <customProperties>
    <customPr name="MMGroup" r:id="rId2"/>
    <customPr name="MMSheetType" r:id="rId3"/>
    <customPr name="MMTimeAxis" r:id="rId4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  <pageSetUpPr fitToPage="1"/>
  </sheetPr>
  <dimension ref="A1:S115"/>
  <sheetViews>
    <sheetView showGridLines="0" workbookViewId="0">
      <pane xSplit="9" ySplit="5" topLeftCell="J6" activePane="bottomRight" state="frozen"/>
      <selection pane="topRight"/>
      <selection pane="bottomLeft"/>
      <selection pane="bottomRight" activeCell="J6" sqref="J6"/>
    </sheetView>
  </sheetViews>
  <sheetFormatPr defaultColWidth="0" defaultRowHeight="13" x14ac:dyDescent="0.2"/>
  <cols>
    <col min="1" max="4" width="1.44140625" style="70" customWidth="1"/>
    <col min="5" max="5" width="58.33203125" style="70" bestFit="1" customWidth="1"/>
    <col min="6" max="6" width="18.6640625" style="70" bestFit="1" customWidth="1"/>
    <col min="7" max="7" width="17" style="70" bestFit="1" customWidth="1"/>
    <col min="8" max="8" width="6.6640625" style="70" bestFit="1" customWidth="1"/>
    <col min="9" max="9" width="3.44140625" style="70" customWidth="1"/>
    <col min="10" max="19" width="11.109375" style="70" bestFit="1" customWidth="1"/>
    <col min="20" max="20" width="15.109375" style="70" hidden="1" customWidth="1"/>
    <col min="21" max="16384" width="15.109375" style="70" hidden="1"/>
  </cols>
  <sheetData>
    <row r="1" spans="1:19" s="20" customFormat="1" ht="26" x14ac:dyDescent="0.2">
      <c r="A1" s="25" t="str">
        <f ca="1" xml:space="preserve"> RIGHT(CELL("filename", A1), LEN(CELL("filename", A1)) - SEARCH("]", CELL("filename", A1)))</f>
        <v>Totex</v>
      </c>
      <c r="B1" s="19"/>
      <c r="C1" s="21"/>
      <c r="D1" s="17"/>
      <c r="F1" s="18" t="str">
        <f>HYPERLINK("#Contents!A1","Go to contents")</f>
        <v>Go to contents</v>
      </c>
      <c r="H1" s="12"/>
      <c r="J1" s="12"/>
    </row>
    <row r="2" spans="1:19" s="16" customFormat="1" x14ac:dyDescent="0.2">
      <c r="A2" s="13"/>
      <c r="B2" s="13"/>
      <c r="C2" s="23"/>
      <c r="D2" s="22"/>
      <c r="E2" s="6" t="s">
        <v>14</v>
      </c>
      <c r="F2" s="15">
        <v>0</v>
      </c>
      <c r="G2" s="14" t="s">
        <v>15</v>
      </c>
      <c r="H2" s="6"/>
      <c r="I2" s="6"/>
      <c r="J2" s="2">
        <f xml:space="preserve"> Time!J$13</f>
        <v>44286</v>
      </c>
      <c r="K2" s="2">
        <f xml:space="preserve"> Time!K$13</f>
        <v>44651</v>
      </c>
      <c r="L2" s="2">
        <f xml:space="preserve"> Time!L$13</f>
        <v>45016</v>
      </c>
      <c r="M2" s="2">
        <f xml:space="preserve"> Time!M$13</f>
        <v>45382</v>
      </c>
      <c r="N2" s="2">
        <f xml:space="preserve"> Time!N$13</f>
        <v>45747</v>
      </c>
      <c r="O2" s="2">
        <f xml:space="preserve"> Time!O$13</f>
        <v>46112</v>
      </c>
      <c r="P2" s="2">
        <f xml:space="preserve"> Time!P$13</f>
        <v>46477</v>
      </c>
      <c r="Q2" s="2">
        <f xml:space="preserve"> Time!Q$13</f>
        <v>46843</v>
      </c>
      <c r="R2" s="2">
        <f xml:space="preserve"> Time!R$13</f>
        <v>47208</v>
      </c>
      <c r="S2" s="2">
        <f xml:space="preserve"> Time!S$13</f>
        <v>47573</v>
      </c>
    </row>
    <row r="3" spans="1:19" s="11" customFormat="1" x14ac:dyDescent="0.2">
      <c r="A3" s="13"/>
      <c r="B3" s="13"/>
      <c r="C3" s="23"/>
      <c r="D3" s="22"/>
      <c r="E3" s="9" t="s">
        <v>16</v>
      </c>
      <c r="F3" s="15"/>
      <c r="G3" s="14" t="s">
        <v>17</v>
      </c>
      <c r="H3" s="6"/>
      <c r="I3" s="6"/>
      <c r="J3" s="3" t="str">
        <f xml:space="preserve"> Time!J$18</f>
        <v>PR19</v>
      </c>
      <c r="K3" s="3" t="str">
        <f xml:space="preserve"> Time!K$18</f>
        <v>PR19</v>
      </c>
      <c r="L3" s="3" t="str">
        <f xml:space="preserve"> Time!L$18</f>
        <v>PR19</v>
      </c>
      <c r="M3" s="3" t="str">
        <f xml:space="preserve"> Time!M$18</f>
        <v>PR19</v>
      </c>
      <c r="N3" s="3" t="str">
        <f xml:space="preserve"> Time!N$18</f>
        <v>PR19</v>
      </c>
      <c r="O3" s="3" t="str">
        <f xml:space="preserve"> Time!O$18</f>
        <v>PR24</v>
      </c>
      <c r="P3" s="3" t="str">
        <f xml:space="preserve"> Time!P$18</f>
        <v>PR24</v>
      </c>
      <c r="Q3" s="3" t="str">
        <f xml:space="preserve"> Time!Q$18</f>
        <v>PR24</v>
      </c>
      <c r="R3" s="3" t="str">
        <f xml:space="preserve"> Time!R$18</f>
        <v>PR24</v>
      </c>
      <c r="S3" s="3" t="str">
        <f xml:space="preserve"> Time!S$18</f>
        <v>PR24</v>
      </c>
    </row>
    <row r="4" spans="1:19" s="10" customFormat="1" x14ac:dyDescent="0.2">
      <c r="A4" s="13"/>
      <c r="B4" s="13"/>
      <c r="C4" s="23"/>
      <c r="D4" s="22"/>
      <c r="E4" s="6" t="s">
        <v>18</v>
      </c>
      <c r="F4" s="7"/>
      <c r="G4" s="6"/>
      <c r="H4" s="6"/>
      <c r="I4" s="6"/>
      <c r="J4" s="10">
        <f xml:space="preserve"> Time!J$23</f>
        <v>1</v>
      </c>
      <c r="K4" s="10">
        <f xml:space="preserve"> Time!K$23</f>
        <v>2</v>
      </c>
      <c r="L4" s="10">
        <f xml:space="preserve"> Time!L$23</f>
        <v>3</v>
      </c>
      <c r="M4" s="10">
        <f xml:space="preserve"> Time!M$23</f>
        <v>4</v>
      </c>
      <c r="N4" s="10">
        <f xml:space="preserve"> Time!N$23</f>
        <v>5</v>
      </c>
      <c r="O4" s="10">
        <f xml:space="preserve"> Time!O$23</f>
        <v>6</v>
      </c>
      <c r="P4" s="10">
        <f xml:space="preserve"> Time!P$23</f>
        <v>7</v>
      </c>
      <c r="Q4" s="10">
        <f xml:space="preserve"> Time!Q$23</f>
        <v>8</v>
      </c>
      <c r="R4" s="10">
        <f xml:space="preserve"> Time!R$23</f>
        <v>9</v>
      </c>
      <c r="S4" s="10">
        <f xml:space="preserve"> Time!S$23</f>
        <v>10</v>
      </c>
    </row>
    <row r="5" spans="1:19" s="11" customFormat="1" x14ac:dyDescent="0.2">
      <c r="A5" s="13"/>
      <c r="B5" s="13"/>
      <c r="C5" s="23"/>
      <c r="D5" s="22"/>
      <c r="E5" s="6" t="s">
        <v>19</v>
      </c>
      <c r="F5" s="7" t="s">
        <v>20</v>
      </c>
      <c r="G5" s="7" t="s">
        <v>21</v>
      </c>
      <c r="H5" s="7" t="s">
        <v>22</v>
      </c>
      <c r="I5" s="6"/>
      <c r="J5" s="1">
        <f xml:space="preserve"> Time!J$27</f>
        <v>1</v>
      </c>
      <c r="K5" s="1">
        <f xml:space="preserve"> Time!K$27</f>
        <v>2</v>
      </c>
      <c r="L5" s="1">
        <f xml:space="preserve"> Time!L$27</f>
        <v>3</v>
      </c>
      <c r="M5" s="1">
        <f xml:space="preserve"> Time!M$27</f>
        <v>4</v>
      </c>
      <c r="N5" s="1">
        <f xml:space="preserve"> Time!N$27</f>
        <v>5</v>
      </c>
      <c r="O5" s="1">
        <f xml:space="preserve"> Time!O$27</f>
        <v>6</v>
      </c>
      <c r="P5" s="1">
        <f xml:space="preserve"> Time!P$27</f>
        <v>7</v>
      </c>
      <c r="Q5" s="1">
        <f xml:space="preserve"> Time!Q$27</f>
        <v>8</v>
      </c>
      <c r="R5" s="1">
        <f xml:space="preserve"> Time!R$27</f>
        <v>9</v>
      </c>
      <c r="S5" s="1">
        <f xml:space="preserve"> Time!S$27</f>
        <v>10</v>
      </c>
    </row>
    <row r="6" spans="1:19" s="9" customFormat="1" x14ac:dyDescent="0.2">
      <c r="A6" s="7"/>
      <c r="B6" s="7"/>
      <c r="C6" s="24"/>
      <c r="F6" s="7"/>
      <c r="G6" s="7"/>
      <c r="H6" s="7"/>
    </row>
    <row r="8" spans="1:19" x14ac:dyDescent="0.2">
      <c r="B8" s="69" t="s">
        <v>104</v>
      </c>
    </row>
    <row r="9" spans="1:19" x14ac:dyDescent="0.2">
      <c r="A9" s="71"/>
      <c r="B9" s="71"/>
      <c r="C9" s="71"/>
      <c r="D9" s="71"/>
      <c r="E9" s="88" t="str">
        <f xml:space="preserve">  InpS!E$15</f>
        <v>Pre-inflation average totex PR19</v>
      </c>
      <c r="F9" s="88">
        <f xml:space="preserve">  InpS!F$15</f>
        <v>1037.5756544096971</v>
      </c>
      <c r="G9" s="88" t="str">
        <f xml:space="preserve">  InpS!G$15</f>
        <v>£m</v>
      </c>
      <c r="M9" s="89"/>
    </row>
    <row r="10" spans="1:19" x14ac:dyDescent="0.2">
      <c r="A10" s="71"/>
      <c r="B10" s="71"/>
      <c r="C10" s="71"/>
      <c r="D10" s="71"/>
      <c r="E10" s="90" t="str">
        <f xml:space="preserve">  Wholesale!E$11</f>
        <v>CPIH factor</v>
      </c>
      <c r="F10" s="90">
        <f xml:space="preserve">  Wholesale!F$11</f>
        <v>1.1806332960179113</v>
      </c>
      <c r="G10" s="90" t="str">
        <f xml:space="preserve">  Wholesale!G$11</f>
        <v>factor</v>
      </c>
      <c r="M10" s="91"/>
    </row>
    <row r="11" spans="1:19" x14ac:dyDescent="0.2">
      <c r="E11" s="70" t="s">
        <v>104</v>
      </c>
      <c r="F11" s="89">
        <f xml:space="preserve">  $F9 * $F10</f>
        <v>1224.9963647336619</v>
      </c>
      <c r="G11" s="70" t="s">
        <v>29</v>
      </c>
      <c r="M11" s="89"/>
    </row>
    <row r="14" spans="1:19" x14ac:dyDescent="0.2">
      <c r="B14" s="69" t="s">
        <v>105</v>
      </c>
    </row>
    <row r="15" spans="1:19" x14ac:dyDescent="0.2">
      <c r="A15" s="71"/>
      <c r="B15" s="71"/>
      <c r="C15" s="71"/>
      <c r="D15" s="71"/>
      <c r="E15" s="88" t="str">
        <f xml:space="preserve">  InpS!E$17</f>
        <v>Pre-inflation average PAYG PR19</v>
      </c>
      <c r="F15" s="88">
        <f xml:space="preserve">  InpS!F$17</f>
        <v>529.58998928332221</v>
      </c>
      <c r="G15" s="88" t="str">
        <f xml:space="preserve">  InpS!G$17</f>
        <v>£m</v>
      </c>
      <c r="M15" s="89"/>
    </row>
    <row r="16" spans="1:19" x14ac:dyDescent="0.2">
      <c r="A16" s="71"/>
      <c r="B16" s="71"/>
      <c r="C16" s="71"/>
      <c r="D16" s="71"/>
      <c r="E16" s="90" t="str">
        <f xml:space="preserve">  Wholesale!E$11</f>
        <v>CPIH factor</v>
      </c>
      <c r="F16" s="90">
        <f xml:space="preserve">  Wholesale!F$11</f>
        <v>1.1806332960179113</v>
      </c>
      <c r="G16" s="90" t="str">
        <f xml:space="preserve">  Wholesale!G$11</f>
        <v>factor</v>
      </c>
      <c r="M16" s="91"/>
    </row>
    <row r="17" spans="1:13" x14ac:dyDescent="0.2">
      <c r="E17" s="70" t="s">
        <v>105</v>
      </c>
      <c r="F17" s="89">
        <f xml:space="preserve">  $F15 * $F16</f>
        <v>625.251574585659</v>
      </c>
      <c r="G17" s="70" t="s">
        <v>29</v>
      </c>
      <c r="M17" s="89"/>
    </row>
    <row r="20" spans="1:13" x14ac:dyDescent="0.2">
      <c r="B20" s="69" t="s">
        <v>106</v>
      </c>
    </row>
    <row r="21" spans="1:13" x14ac:dyDescent="0.2">
      <c r="A21" s="71"/>
      <c r="B21" s="71"/>
      <c r="C21" s="71"/>
      <c r="D21" s="71"/>
      <c r="E21" s="88" t="str">
        <f xml:space="preserve">  InpS!E$18</f>
        <v>Average PAYG PR24</v>
      </c>
      <c r="F21" s="88">
        <f xml:space="preserve">  InpS!F$18</f>
        <v>780.24466744628114</v>
      </c>
      <c r="G21" s="88" t="str">
        <f xml:space="preserve">  InpS!G$18</f>
        <v>£m</v>
      </c>
      <c r="M21" s="89"/>
    </row>
    <row r="22" spans="1:13" x14ac:dyDescent="0.2">
      <c r="E22" s="89" t="str">
        <f t="shared" ref="E22:G22" si="0" xml:space="preserve">  E$17</f>
        <v>Average PAYG PR19</v>
      </c>
      <c r="F22" s="89">
        <f t="shared" si="0"/>
        <v>625.251574585659</v>
      </c>
      <c r="G22" s="89" t="str">
        <f t="shared" si="0"/>
        <v>£m</v>
      </c>
      <c r="M22" s="89"/>
    </row>
    <row r="23" spans="1:13" x14ac:dyDescent="0.2">
      <c r="E23" s="70" t="s">
        <v>106</v>
      </c>
      <c r="F23" s="89">
        <f xml:space="preserve">  $F21 - $F22</f>
        <v>154.99309286062214</v>
      </c>
      <c r="G23" s="70" t="s">
        <v>29</v>
      </c>
      <c r="M23" s="89"/>
    </row>
    <row r="26" spans="1:13" x14ac:dyDescent="0.2">
      <c r="B26" s="69" t="s">
        <v>107</v>
      </c>
    </row>
    <row r="27" spans="1:13" x14ac:dyDescent="0.2">
      <c r="E27" s="89" t="str">
        <f t="shared" ref="E27:G27" si="1" xml:space="preserve">  E$17</f>
        <v>Average PAYG PR19</v>
      </c>
      <c r="F27" s="89">
        <f xml:space="preserve">  F$17</f>
        <v>625.251574585659</v>
      </c>
      <c r="G27" s="89" t="str">
        <f t="shared" si="1"/>
        <v>£m</v>
      </c>
      <c r="M27" s="89"/>
    </row>
    <row r="28" spans="1:13" x14ac:dyDescent="0.2">
      <c r="E28" s="89" t="str">
        <f t="shared" ref="E28:G28" si="2" xml:space="preserve">  E$11</f>
        <v>Average totex PR19</v>
      </c>
      <c r="F28" s="89">
        <f xml:space="preserve">  F$11</f>
        <v>1224.9963647336619</v>
      </c>
      <c r="G28" s="89" t="str">
        <f t="shared" si="2"/>
        <v>£m</v>
      </c>
      <c r="M28" s="89"/>
    </row>
    <row r="29" spans="1:13" x14ac:dyDescent="0.2">
      <c r="E29" s="70" t="s">
        <v>107</v>
      </c>
      <c r="F29" s="93">
        <f xml:space="preserve">  $F27 / $F28</f>
        <v>0.51041096331873681</v>
      </c>
      <c r="G29" s="70" t="s">
        <v>64</v>
      </c>
      <c r="M29" s="93"/>
    </row>
    <row r="32" spans="1:13" x14ac:dyDescent="0.2">
      <c r="B32" s="69" t="s">
        <v>108</v>
      </c>
    </row>
    <row r="33" spans="1:13" x14ac:dyDescent="0.2">
      <c r="A33" s="71"/>
      <c r="B33" s="71"/>
      <c r="C33" s="71"/>
      <c r="D33" s="71"/>
      <c r="E33" s="88" t="str">
        <f xml:space="preserve">  InpS!E$18</f>
        <v>Average PAYG PR24</v>
      </c>
      <c r="F33" s="88">
        <f xml:space="preserve">  InpS!F$18</f>
        <v>780.24466744628114</v>
      </c>
      <c r="G33" s="88" t="str">
        <f xml:space="preserve">  InpS!G$18</f>
        <v>£m</v>
      </c>
      <c r="M33" s="89"/>
    </row>
    <row r="34" spans="1:13" x14ac:dyDescent="0.2">
      <c r="A34" s="71"/>
      <c r="B34" s="71"/>
      <c r="C34" s="71"/>
      <c r="D34" s="71"/>
      <c r="E34" s="88" t="str">
        <f xml:space="preserve">  InpS!E$16</f>
        <v>Average totex PR24</v>
      </c>
      <c r="F34" s="88">
        <f xml:space="preserve">  InpS!F$16</f>
        <v>1743.169925846719</v>
      </c>
      <c r="G34" s="88" t="str">
        <f xml:space="preserve">  InpS!G$16</f>
        <v>£m</v>
      </c>
      <c r="M34" s="89"/>
    </row>
    <row r="35" spans="1:13" x14ac:dyDescent="0.2">
      <c r="E35" s="70" t="s">
        <v>108</v>
      </c>
      <c r="F35" s="93">
        <f xml:space="preserve">  $F33 / $F34</f>
        <v>0.44760103755650144</v>
      </c>
      <c r="G35" s="70" t="s">
        <v>64</v>
      </c>
      <c r="M35" s="93"/>
    </row>
    <row r="38" spans="1:13" x14ac:dyDescent="0.2">
      <c r="B38" s="69" t="s">
        <v>109</v>
      </c>
    </row>
    <row r="39" spans="1:13" x14ac:dyDescent="0.2">
      <c r="E39" s="93" t="str">
        <f t="shared" ref="E39:G39" si="3" xml:space="preserve">  E$35</f>
        <v>Effective average PAYG rate PR24</v>
      </c>
      <c r="F39" s="93">
        <f t="shared" si="3"/>
        <v>0.44760103755650144</v>
      </c>
      <c r="G39" s="93" t="str">
        <f t="shared" si="3"/>
        <v>%</v>
      </c>
      <c r="M39" s="93"/>
    </row>
    <row r="40" spans="1:13" x14ac:dyDescent="0.2">
      <c r="E40" s="93" t="str">
        <f t="shared" ref="E40:G40" si="4" xml:space="preserve">  E$29</f>
        <v>Effective average PAYG rate PR19</v>
      </c>
      <c r="F40" s="93">
        <f t="shared" si="4"/>
        <v>0.51041096331873681</v>
      </c>
      <c r="G40" s="93" t="str">
        <f t="shared" si="4"/>
        <v>%</v>
      </c>
      <c r="M40" s="93"/>
    </row>
    <row r="41" spans="1:13" x14ac:dyDescent="0.2">
      <c r="E41" s="70" t="s">
        <v>109</v>
      </c>
      <c r="F41" s="93">
        <f xml:space="preserve">  $F39 - $F40</f>
        <v>-6.2809925762235375E-2</v>
      </c>
      <c r="G41" s="70" t="s">
        <v>64</v>
      </c>
      <c r="M41" s="93"/>
    </row>
    <row r="44" spans="1:13" x14ac:dyDescent="0.2">
      <c r="B44" s="69" t="s">
        <v>110</v>
      </c>
    </row>
    <row r="45" spans="1:13" x14ac:dyDescent="0.2">
      <c r="E45" s="93" t="str">
        <f t="shared" ref="E45:G45" si="5" xml:space="preserve">  E$41</f>
        <v>Effective average PAYG rate variance</v>
      </c>
      <c r="F45" s="93">
        <f xml:space="preserve">  F$41</f>
        <v>-6.2809925762235375E-2</v>
      </c>
      <c r="G45" s="93" t="str">
        <f t="shared" si="5"/>
        <v>%</v>
      </c>
      <c r="M45" s="93"/>
    </row>
    <row r="46" spans="1:13" x14ac:dyDescent="0.2">
      <c r="A46" s="71"/>
      <c r="B46" s="71"/>
      <c r="C46" s="71"/>
      <c r="D46" s="71"/>
      <c r="E46" s="88" t="str">
        <f xml:space="preserve">  InpS!E$16</f>
        <v>Average totex PR24</v>
      </c>
      <c r="F46" s="88">
        <f xml:space="preserve">  InpS!F$16</f>
        <v>1743.169925846719</v>
      </c>
      <c r="G46" s="88" t="str">
        <f xml:space="preserve">  InpS!G$16</f>
        <v>£m</v>
      </c>
      <c r="M46" s="89"/>
    </row>
    <row r="47" spans="1:13" x14ac:dyDescent="0.2">
      <c r="E47" s="70" t="s">
        <v>110</v>
      </c>
      <c r="F47" s="89">
        <f xml:space="preserve">  $F45 * $F46</f>
        <v>-109.48837363339376</v>
      </c>
      <c r="G47" s="70" t="s">
        <v>29</v>
      </c>
      <c r="M47" s="89"/>
    </row>
    <row r="50" spans="1:13" x14ac:dyDescent="0.2">
      <c r="B50" s="69" t="s">
        <v>111</v>
      </c>
    </row>
    <row r="51" spans="1:13" x14ac:dyDescent="0.2">
      <c r="E51" s="89" t="str">
        <f t="shared" ref="E51:G51" si="6" xml:space="preserve">  E$23</f>
        <v>Average PAYG variance</v>
      </c>
      <c r="F51" s="89">
        <f t="shared" si="6"/>
        <v>154.99309286062214</v>
      </c>
      <c r="G51" s="89" t="str">
        <f t="shared" si="6"/>
        <v>£m</v>
      </c>
      <c r="M51" s="89"/>
    </row>
    <row r="52" spans="1:13" x14ac:dyDescent="0.2">
      <c r="E52" s="89" t="str">
        <f t="shared" ref="E52:G52" si="7" xml:space="preserve">  E$47</f>
        <v>Impact of average PAYG rates</v>
      </c>
      <c r="F52" s="89">
        <f t="shared" si="7"/>
        <v>-109.48837363339376</v>
      </c>
      <c r="G52" s="89" t="str">
        <f t="shared" si="7"/>
        <v>£m</v>
      </c>
      <c r="M52" s="89"/>
    </row>
    <row r="53" spans="1:13" x14ac:dyDescent="0.2">
      <c r="E53" s="70" t="s">
        <v>111</v>
      </c>
      <c r="F53" s="89">
        <f xml:space="preserve">  $F51 - $F52</f>
        <v>264.48146649401588</v>
      </c>
      <c r="G53" s="70" t="s">
        <v>29</v>
      </c>
      <c r="M53" s="89"/>
    </row>
    <row r="56" spans="1:13" x14ac:dyDescent="0.2">
      <c r="B56" s="69" t="s">
        <v>112</v>
      </c>
    </row>
    <row r="57" spans="1:13" x14ac:dyDescent="0.2">
      <c r="A57" s="71"/>
      <c r="B57" s="71"/>
      <c r="C57" s="71"/>
      <c r="D57" s="71"/>
      <c r="E57" s="88" t="str">
        <f xml:space="preserve">  InpS!E$19</f>
        <v>Pre-inflation average profiled allowed revenue PR19</v>
      </c>
      <c r="F57" s="88">
        <f xml:space="preserve">  InpS!F$19</f>
        <v>1182.7736697319526</v>
      </c>
      <c r="G57" s="88" t="str">
        <f xml:space="preserve">  InpS!G$19</f>
        <v>£m</v>
      </c>
      <c r="M57" s="89"/>
    </row>
    <row r="58" spans="1:13" x14ac:dyDescent="0.2">
      <c r="A58" s="71"/>
      <c r="B58" s="71"/>
      <c r="C58" s="71"/>
      <c r="D58" s="71"/>
      <c r="E58" s="90" t="str">
        <f xml:space="preserve">  Wholesale!E$11</f>
        <v>CPIH factor</v>
      </c>
      <c r="F58" s="90">
        <f xml:space="preserve">  Wholesale!F$11</f>
        <v>1.1806332960179113</v>
      </c>
      <c r="G58" s="90" t="str">
        <f xml:space="preserve">  Wholesale!G$11</f>
        <v>factor</v>
      </c>
      <c r="M58" s="91"/>
    </row>
    <row r="59" spans="1:13" x14ac:dyDescent="0.2">
      <c r="E59" s="70" t="s">
        <v>112</v>
      </c>
      <c r="F59" s="89">
        <f xml:space="preserve">  $F57 * $F58</f>
        <v>1396.4219761388358</v>
      </c>
      <c r="G59" s="70" t="s">
        <v>29</v>
      </c>
      <c r="M59" s="89"/>
    </row>
    <row r="62" spans="1:13" x14ac:dyDescent="0.2">
      <c r="B62" s="69" t="s">
        <v>113</v>
      </c>
    </row>
    <row r="63" spans="1:13" x14ac:dyDescent="0.2">
      <c r="A63" s="71"/>
      <c r="B63" s="71"/>
      <c r="C63" s="71"/>
      <c r="D63" s="71"/>
      <c r="E63" s="88" t="str">
        <f xml:space="preserve">  InpS!E$20</f>
        <v>Average profiled allowed revenue PR24</v>
      </c>
      <c r="F63" s="88">
        <f xml:space="preserve">  InpS!F$20</f>
        <v>1726.3024956347729</v>
      </c>
      <c r="G63" s="88" t="str">
        <f xml:space="preserve">  InpS!G$20</f>
        <v>£m</v>
      </c>
      <c r="M63" s="89"/>
    </row>
    <row r="64" spans="1:13" x14ac:dyDescent="0.2">
      <c r="E64" s="89" t="str">
        <f t="shared" ref="E64:G64" si="8" xml:space="preserve">  E$59</f>
        <v>Average profiled allowed revenue PR19</v>
      </c>
      <c r="F64" s="89">
        <f t="shared" si="8"/>
        <v>1396.4219761388358</v>
      </c>
      <c r="G64" s="89" t="str">
        <f t="shared" si="8"/>
        <v>£m</v>
      </c>
      <c r="M64" s="89"/>
    </row>
    <row r="65" spans="1:13" x14ac:dyDescent="0.2">
      <c r="A65" s="71"/>
      <c r="B65" s="71"/>
      <c r="C65" s="71"/>
      <c r="D65" s="71"/>
      <c r="E65" s="72" t="str">
        <f xml:space="preserve">  'Cost to serve'!E$17</f>
        <v>Total number of households PR24</v>
      </c>
      <c r="F65" s="72">
        <f xml:space="preserve">  'Cost to serve'!F$17</f>
        <v>2625.0623727053376</v>
      </c>
      <c r="G65" s="72" t="str">
        <f xml:space="preserve">  'Cost to serve'!G$17</f>
        <v>000 customers</v>
      </c>
      <c r="M65" s="73"/>
    </row>
    <row r="66" spans="1:13" x14ac:dyDescent="0.2">
      <c r="A66" s="71"/>
      <c r="B66" s="71"/>
      <c r="C66" s="71"/>
      <c r="D66" s="71"/>
      <c r="E66" s="72" t="str">
        <f xml:space="preserve">  InpS!E$92</f>
        <v>Units in a thousand</v>
      </c>
      <c r="F66" s="72">
        <f xml:space="preserve">  InpS!F$92</f>
        <v>1000</v>
      </c>
      <c r="G66" s="72" t="str">
        <f xml:space="preserve">  InpS!G$92</f>
        <v>units</v>
      </c>
      <c r="M66" s="73"/>
    </row>
    <row r="67" spans="1:13" x14ac:dyDescent="0.2">
      <c r="E67" s="70" t="s">
        <v>113</v>
      </c>
      <c r="F67" s="89">
        <f xml:space="preserve">  ( $F63 - $F64 ) / $F65 * $F66</f>
        <v>125.66578338326059</v>
      </c>
      <c r="G67" s="70" t="s">
        <v>50</v>
      </c>
      <c r="M67" s="89"/>
    </row>
    <row r="70" spans="1:13" x14ac:dyDescent="0.2">
      <c r="B70" s="69" t="s">
        <v>114</v>
      </c>
    </row>
    <row r="71" spans="1:13" x14ac:dyDescent="0.2">
      <c r="A71" s="71"/>
      <c r="B71" s="71"/>
      <c r="C71" s="71"/>
      <c r="D71" s="71"/>
      <c r="E71" s="88" t="str">
        <f xml:space="preserve">  Wholesale!E$24</f>
        <v>Wholesale bill impact</v>
      </c>
      <c r="F71" s="88">
        <f xml:space="preserve">  Wholesale!F$24</f>
        <v>104.75073244365714</v>
      </c>
      <c r="G71" s="88" t="str">
        <f xml:space="preserve">  Wholesale!G$24</f>
        <v>£ / customer</v>
      </c>
      <c r="M71" s="89"/>
    </row>
    <row r="72" spans="1:13" x14ac:dyDescent="0.2">
      <c r="E72" s="89" t="str">
        <f t="shared" ref="E72:G72" si="9" xml:space="preserve">  E$67</f>
        <v>Average profiled allowed revenues variance per customer</v>
      </c>
      <c r="F72" s="89">
        <f t="shared" si="9"/>
        <v>125.66578338326059</v>
      </c>
      <c r="G72" s="89" t="str">
        <f t="shared" si="9"/>
        <v>£ / customer</v>
      </c>
      <c r="M72" s="89"/>
    </row>
    <row r="73" spans="1:13" x14ac:dyDescent="0.2">
      <c r="E73" s="70" t="s">
        <v>114</v>
      </c>
      <c r="F73" s="91">
        <f xml:space="preserve">  $F71 / $F72</f>
        <v>0.83356606407476985</v>
      </c>
      <c r="G73" s="70" t="s">
        <v>115</v>
      </c>
      <c r="M73" s="91"/>
    </row>
    <row r="76" spans="1:13" x14ac:dyDescent="0.2">
      <c r="B76" s="69" t="s">
        <v>116</v>
      </c>
    </row>
    <row r="77" spans="1:13" x14ac:dyDescent="0.2">
      <c r="E77" s="89" t="str">
        <f t="shared" ref="E77:G77" si="10" xml:space="preserve">  E$23</f>
        <v>Average PAYG variance</v>
      </c>
      <c r="F77" s="89">
        <f t="shared" si="10"/>
        <v>154.99309286062214</v>
      </c>
      <c r="G77" s="89" t="str">
        <f t="shared" si="10"/>
        <v>£m</v>
      </c>
      <c r="M77" s="89"/>
    </row>
    <row r="78" spans="1:13" x14ac:dyDescent="0.2">
      <c r="A78" s="71"/>
      <c r="B78" s="71"/>
      <c r="C78" s="71"/>
      <c r="D78" s="71"/>
      <c r="E78" s="72" t="str">
        <f xml:space="preserve">  'Cost to serve'!E$17</f>
        <v>Total number of households PR24</v>
      </c>
      <c r="F78" s="72">
        <f xml:space="preserve">  'Cost to serve'!F$17</f>
        <v>2625.0623727053376</v>
      </c>
      <c r="G78" s="72" t="str">
        <f xml:space="preserve">  'Cost to serve'!G$17</f>
        <v>000 customers</v>
      </c>
      <c r="M78" s="73"/>
    </row>
    <row r="79" spans="1:13" x14ac:dyDescent="0.2">
      <c r="A79" s="71"/>
      <c r="B79" s="71"/>
      <c r="C79" s="71"/>
      <c r="D79" s="71"/>
      <c r="E79" s="72" t="str">
        <f xml:space="preserve">  InpS!E$92</f>
        <v>Units in a thousand</v>
      </c>
      <c r="F79" s="72">
        <f xml:space="preserve">  InpS!F$92</f>
        <v>1000</v>
      </c>
      <c r="G79" s="72" t="str">
        <f xml:space="preserve">  InpS!G$92</f>
        <v>units</v>
      </c>
      <c r="M79" s="73"/>
    </row>
    <row r="80" spans="1:13" x14ac:dyDescent="0.2">
      <c r="E80" s="70" t="s">
        <v>116</v>
      </c>
      <c r="F80" s="89">
        <f xml:space="preserve">  $F77 / $F78 * $F79</f>
        <v>59.043584820001556</v>
      </c>
      <c r="G80" s="70" t="s">
        <v>50</v>
      </c>
      <c r="M80" s="89"/>
    </row>
    <row r="83" spans="1:13" x14ac:dyDescent="0.2">
      <c r="B83" s="69" t="s">
        <v>117</v>
      </c>
    </row>
    <row r="84" spans="1:13" x14ac:dyDescent="0.2">
      <c r="E84" s="89" t="str">
        <f t="shared" ref="E84:G84" si="11" xml:space="preserve">  E$80</f>
        <v>Pre-adjustment average PAYG bill impact</v>
      </c>
      <c r="F84" s="89">
        <f t="shared" si="11"/>
        <v>59.043584820001556</v>
      </c>
      <c r="G84" s="89" t="str">
        <f t="shared" si="11"/>
        <v>£ / customer</v>
      </c>
      <c r="M84" s="89"/>
    </row>
    <row r="85" spans="1:13" x14ac:dyDescent="0.2">
      <c r="E85" s="91" t="str">
        <f t="shared" ref="E85:G85" si="12" xml:space="preserve">  E$73</f>
        <v>Average adjustment factor</v>
      </c>
      <c r="F85" s="91">
        <f t="shared" si="12"/>
        <v>0.83356606407476985</v>
      </c>
      <c r="G85" s="91" t="str">
        <f t="shared" si="12"/>
        <v>factor</v>
      </c>
      <c r="M85" s="91"/>
    </row>
    <row r="86" spans="1:13" x14ac:dyDescent="0.2">
      <c r="E86" s="70" t="s">
        <v>117</v>
      </c>
      <c r="F86" s="89">
        <f xml:space="preserve">  $F84 * $F85</f>
        <v>49.216728607273524</v>
      </c>
      <c r="G86" s="70" t="s">
        <v>50</v>
      </c>
      <c r="M86" s="89"/>
    </row>
    <row r="89" spans="1:13" x14ac:dyDescent="0.2">
      <c r="B89" s="69" t="s">
        <v>118</v>
      </c>
    </row>
    <row r="90" spans="1:13" x14ac:dyDescent="0.2">
      <c r="E90" s="89" t="str">
        <f t="shared" ref="E90:G90" si="13" xml:space="preserve">  E$53</f>
        <v>Impact of average totex change</v>
      </c>
      <c r="F90" s="89">
        <f t="shared" si="13"/>
        <v>264.48146649401588</v>
      </c>
      <c r="G90" s="89" t="str">
        <f t="shared" si="13"/>
        <v>£m</v>
      </c>
      <c r="M90" s="89"/>
    </row>
    <row r="91" spans="1:13" x14ac:dyDescent="0.2">
      <c r="E91" s="89" t="str">
        <f t="shared" ref="E91:G91" si="14" xml:space="preserve">  E$23</f>
        <v>Average PAYG variance</v>
      </c>
      <c r="F91" s="89">
        <f xml:space="preserve">  F$23</f>
        <v>154.99309286062214</v>
      </c>
      <c r="G91" s="89" t="str">
        <f t="shared" si="14"/>
        <v>£m</v>
      </c>
      <c r="M91" s="89"/>
    </row>
    <row r="92" spans="1:13" x14ac:dyDescent="0.2">
      <c r="E92" s="89" t="str">
        <f t="shared" ref="E92:G92" si="15" xml:space="preserve">  E$86</f>
        <v>Average PAYG bill impact</v>
      </c>
      <c r="F92" s="89">
        <f t="shared" si="15"/>
        <v>49.216728607273524</v>
      </c>
      <c r="G92" s="89" t="str">
        <f t="shared" si="15"/>
        <v>£ / customer</v>
      </c>
      <c r="M92" s="89"/>
    </row>
    <row r="93" spans="1:13" x14ac:dyDescent="0.2">
      <c r="A93" s="75"/>
      <c r="B93" s="75"/>
      <c r="C93" s="75"/>
      <c r="D93" s="75"/>
      <c r="E93" s="75" t="s">
        <v>118</v>
      </c>
      <c r="F93" s="94">
        <f xml:space="preserve">  $F90 / $F91 * $F92</f>
        <v>83.983823522995124</v>
      </c>
      <c r="G93" s="75" t="s">
        <v>50</v>
      </c>
      <c r="M93" s="89"/>
    </row>
    <row r="96" spans="1:13" x14ac:dyDescent="0.2">
      <c r="B96" s="69" t="s">
        <v>119</v>
      </c>
    </row>
    <row r="97" spans="1:13" x14ac:dyDescent="0.2">
      <c r="E97" s="89" t="str">
        <f t="shared" ref="E97:G97" si="16" xml:space="preserve">  E$23</f>
        <v>Average PAYG variance</v>
      </c>
      <c r="F97" s="89">
        <f xml:space="preserve">  F$23</f>
        <v>154.99309286062214</v>
      </c>
      <c r="G97" s="89" t="str">
        <f t="shared" si="16"/>
        <v>£m</v>
      </c>
      <c r="M97" s="89"/>
    </row>
    <row r="98" spans="1:13" x14ac:dyDescent="0.2">
      <c r="A98" s="71"/>
      <c r="B98" s="71"/>
      <c r="C98" s="71"/>
      <c r="D98" s="71"/>
      <c r="E98" s="72" t="str">
        <f xml:space="preserve">  'Cost to serve'!E$17</f>
        <v>Total number of households PR24</v>
      </c>
      <c r="F98" s="72">
        <f xml:space="preserve">  'Cost to serve'!F$17</f>
        <v>2625.0623727053376</v>
      </c>
      <c r="G98" s="72" t="str">
        <f xml:space="preserve">  'Cost to serve'!G$17</f>
        <v>000 customers</v>
      </c>
      <c r="M98" s="73"/>
    </row>
    <row r="99" spans="1:13" x14ac:dyDescent="0.2">
      <c r="A99" s="71"/>
      <c r="B99" s="71"/>
      <c r="C99" s="71"/>
      <c r="D99" s="71"/>
      <c r="E99" s="72" t="str">
        <f xml:space="preserve">  InpS!E$92</f>
        <v>Units in a thousand</v>
      </c>
      <c r="F99" s="72">
        <f xml:space="preserve">  InpS!F$92</f>
        <v>1000</v>
      </c>
      <c r="G99" s="72" t="str">
        <f xml:space="preserve">  InpS!G$92</f>
        <v>units</v>
      </c>
      <c r="M99" s="73"/>
    </row>
    <row r="100" spans="1:13" x14ac:dyDescent="0.2">
      <c r="E100" s="70" t="s">
        <v>119</v>
      </c>
      <c r="F100" s="89">
        <f xml:space="preserve">  $F97 / $F98 * $F99</f>
        <v>59.043584820001556</v>
      </c>
      <c r="G100" s="70" t="s">
        <v>50</v>
      </c>
      <c r="M100" s="89"/>
    </row>
    <row r="103" spans="1:13" x14ac:dyDescent="0.2">
      <c r="B103" s="69" t="s">
        <v>120</v>
      </c>
    </row>
    <row r="104" spans="1:13" x14ac:dyDescent="0.2">
      <c r="E104" s="89" t="str">
        <f t="shared" ref="E104:G104" si="17" xml:space="preserve">  E$100</f>
        <v>Pre-adjustment PAYG bill impact</v>
      </c>
      <c r="F104" s="89">
        <f xml:space="preserve">  F$100</f>
        <v>59.043584820001556</v>
      </c>
      <c r="G104" s="89" t="str">
        <f t="shared" si="17"/>
        <v>£ / customer</v>
      </c>
      <c r="M104" s="89"/>
    </row>
    <row r="105" spans="1:13" x14ac:dyDescent="0.2">
      <c r="A105" s="71"/>
      <c r="B105" s="71"/>
      <c r="C105" s="71"/>
      <c r="D105" s="71"/>
      <c r="E105" s="90" t="str">
        <f xml:space="preserve">  Wholesale!E$44</f>
        <v>Adjustment factor</v>
      </c>
      <c r="F105" s="90">
        <f xml:space="preserve">  Wholesale!F$44</f>
        <v>0.83356606407476985</v>
      </c>
      <c r="G105" s="90" t="str">
        <f xml:space="preserve">  Wholesale!G$44</f>
        <v>factor</v>
      </c>
      <c r="M105" s="91"/>
    </row>
    <row r="106" spans="1:13" x14ac:dyDescent="0.2">
      <c r="A106" s="75"/>
      <c r="B106" s="75"/>
      <c r="C106" s="75"/>
      <c r="D106" s="75"/>
      <c r="E106" s="75" t="s">
        <v>120</v>
      </c>
      <c r="F106" s="94">
        <f xml:space="preserve">  $F104 * $F105</f>
        <v>49.216728607273524</v>
      </c>
      <c r="G106" s="75" t="s">
        <v>50</v>
      </c>
      <c r="M106" s="89"/>
    </row>
    <row r="109" spans="1:13" x14ac:dyDescent="0.2">
      <c r="B109" s="69" t="s">
        <v>121</v>
      </c>
    </row>
    <row r="110" spans="1:13" x14ac:dyDescent="0.2">
      <c r="E110" s="89" t="str">
        <f t="shared" ref="E110:G110" si="18" xml:space="preserve">  E$106</f>
        <v>PAYG bill impact</v>
      </c>
      <c r="F110" s="89">
        <f xml:space="preserve">  F$106</f>
        <v>49.216728607273524</v>
      </c>
      <c r="G110" s="89" t="str">
        <f t="shared" si="18"/>
        <v>£ / customer</v>
      </c>
      <c r="M110" s="89"/>
    </row>
    <row r="111" spans="1:13" x14ac:dyDescent="0.2">
      <c r="E111" s="89" t="str">
        <f t="shared" ref="E111:G111" si="19" xml:space="preserve">  E$93</f>
        <v>Average totex increase/(decrease)</v>
      </c>
      <c r="F111" s="89">
        <f t="shared" si="19"/>
        <v>83.983823522995124</v>
      </c>
      <c r="G111" s="89" t="str">
        <f t="shared" si="19"/>
        <v>£ / customer</v>
      </c>
      <c r="M111" s="89"/>
    </row>
    <row r="112" spans="1:13" x14ac:dyDescent="0.2">
      <c r="A112" s="75"/>
      <c r="B112" s="75"/>
      <c r="C112" s="75"/>
      <c r="D112" s="75"/>
      <c r="E112" s="75" t="s">
        <v>121</v>
      </c>
      <c r="F112" s="94">
        <f xml:space="preserve">  $F110 - $F111</f>
        <v>-34.7670949157216</v>
      </c>
      <c r="G112" s="75" t="s">
        <v>50</v>
      </c>
      <c r="M112" s="89"/>
    </row>
    <row r="115" spans="2:2" x14ac:dyDescent="0.2">
      <c r="B115" s="70" t="s">
        <v>98</v>
      </c>
    </row>
  </sheetData>
  <conditionalFormatting sqref="F2">
    <cfRule type="cellIs" dxfId="68" priority="3" stopIfTrue="1" operator="equal">
      <formula>""</formula>
    </cfRule>
  </conditionalFormatting>
  <conditionalFormatting sqref="F2:F3">
    <cfRule type="cellIs" dxfId="67" priority="1" stopIfTrue="1" operator="notEqual">
      <formula>0</formula>
    </cfRule>
  </conditionalFormatting>
  <conditionalFormatting sqref="J3:S3">
    <cfRule type="cellIs" dxfId="66" priority="9" operator="equal">
      <formula>"PPA ext."</formula>
    </cfRule>
    <cfRule type="cellIs" dxfId="65" priority="10" operator="equal">
      <formula>"Delay"</formula>
    </cfRule>
    <cfRule type="cellIs" dxfId="64" priority="11" operator="equal">
      <formula>"Fin Close"</formula>
    </cfRule>
    <cfRule type="cellIs" dxfId="63" priority="12" stopIfTrue="1" operator="equal">
      <formula>"Construction"</formula>
    </cfRule>
    <cfRule type="cellIs" dxfId="62" priority="13" stopIfTrue="1" operator="equal">
      <formula>"Operations"</formula>
    </cfRule>
  </conditionalFormatting>
  <pageMargins left="0.70866141732283472" right="0.70866141732283472" top="0.74803149606299213" bottom="0.74803149606299213" header="0.31496062992125984" footer="0.31496062992125984"/>
  <pageSetup paperSize="9" scale="50" orientation="portrait"/>
  <headerFooter>
    <oddHeader>&amp;L&amp;"-,Regular"&amp;9&amp;K63656APage &amp;P of &amp;N&amp;C&amp;"-,Regular"&amp;9&amp;K63656A&amp;F&amp;R&amp;G</oddHeader>
    <oddFooter>&amp;LSheet: &amp;A&amp;RPrinted on &amp;D at &amp;T</oddFooter>
  </headerFooter>
  <customProperties>
    <customPr name="MMGroup" r:id="rId1"/>
    <customPr name="MMSheetType" r:id="rId2"/>
    <customPr name="MMTimeAxis" r:id="rId3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  <pageSetUpPr fitToPage="1"/>
  </sheetPr>
  <dimension ref="A1:S83"/>
  <sheetViews>
    <sheetView showGridLines="0" workbookViewId="0">
      <pane xSplit="9" ySplit="5" topLeftCell="J6" activePane="bottomRight" state="frozen"/>
      <selection pane="topRight"/>
      <selection pane="bottomLeft"/>
      <selection pane="bottomRight" activeCell="J6" sqref="J6"/>
    </sheetView>
  </sheetViews>
  <sheetFormatPr defaultColWidth="0" defaultRowHeight="13" x14ac:dyDescent="0.2"/>
  <cols>
    <col min="1" max="4" width="1.44140625" style="70" customWidth="1"/>
    <col min="5" max="5" width="36" style="70" bestFit="1" customWidth="1"/>
    <col min="6" max="6" width="18.6640625" style="70" bestFit="1" customWidth="1"/>
    <col min="7" max="7" width="17" style="70" bestFit="1" customWidth="1"/>
    <col min="8" max="8" width="6.6640625" style="70" bestFit="1" customWidth="1"/>
    <col min="9" max="9" width="3.44140625" style="70" customWidth="1"/>
    <col min="10" max="19" width="11.109375" style="70" bestFit="1" customWidth="1"/>
    <col min="20" max="20" width="15.109375" style="70" hidden="1" customWidth="1"/>
    <col min="21" max="16384" width="15.109375" style="70" hidden="1"/>
  </cols>
  <sheetData>
    <row r="1" spans="1:19" s="20" customFormat="1" ht="26" x14ac:dyDescent="0.2">
      <c r="A1" s="25" t="str">
        <f ca="1" xml:space="preserve"> RIGHT(CELL("filename", A1), LEN(CELL("filename", A1)) - SEARCH("]", CELL("filename", A1)))</f>
        <v>RCV</v>
      </c>
      <c r="B1" s="19"/>
      <c r="C1" s="21"/>
      <c r="D1" s="17"/>
      <c r="F1" s="18" t="str">
        <f>HYPERLINK("#Contents!A1","Go to contents")</f>
        <v>Go to contents</v>
      </c>
      <c r="H1" s="12"/>
      <c r="J1" s="12"/>
    </row>
    <row r="2" spans="1:19" s="16" customFormat="1" x14ac:dyDescent="0.2">
      <c r="A2" s="13"/>
      <c r="B2" s="13"/>
      <c r="C2" s="23"/>
      <c r="D2" s="22"/>
      <c r="E2" s="6" t="s">
        <v>14</v>
      </c>
      <c r="F2" s="15">
        <v>0</v>
      </c>
      <c r="G2" s="14" t="s">
        <v>15</v>
      </c>
      <c r="H2" s="6"/>
      <c r="I2" s="6"/>
      <c r="J2" s="2">
        <f xml:space="preserve"> Time!J$13</f>
        <v>44286</v>
      </c>
      <c r="K2" s="2">
        <f xml:space="preserve"> Time!K$13</f>
        <v>44651</v>
      </c>
      <c r="L2" s="2">
        <f xml:space="preserve"> Time!L$13</f>
        <v>45016</v>
      </c>
      <c r="M2" s="2">
        <f xml:space="preserve"> Time!M$13</f>
        <v>45382</v>
      </c>
      <c r="N2" s="2">
        <f xml:space="preserve"> Time!N$13</f>
        <v>45747</v>
      </c>
      <c r="O2" s="2">
        <f xml:space="preserve"> Time!O$13</f>
        <v>46112</v>
      </c>
      <c r="P2" s="2">
        <f xml:space="preserve"> Time!P$13</f>
        <v>46477</v>
      </c>
      <c r="Q2" s="2">
        <f xml:space="preserve"> Time!Q$13</f>
        <v>46843</v>
      </c>
      <c r="R2" s="2">
        <f xml:space="preserve"> Time!R$13</f>
        <v>47208</v>
      </c>
      <c r="S2" s="2">
        <f xml:space="preserve"> Time!S$13</f>
        <v>47573</v>
      </c>
    </row>
    <row r="3" spans="1:19" s="11" customFormat="1" x14ac:dyDescent="0.2">
      <c r="A3" s="13"/>
      <c r="B3" s="13"/>
      <c r="C3" s="23"/>
      <c r="D3" s="22"/>
      <c r="E3" s="9" t="s">
        <v>16</v>
      </c>
      <c r="F3" s="15"/>
      <c r="G3" s="14" t="s">
        <v>17</v>
      </c>
      <c r="H3" s="6"/>
      <c r="I3" s="6"/>
      <c r="J3" s="3" t="str">
        <f xml:space="preserve"> Time!J$18</f>
        <v>PR19</v>
      </c>
      <c r="K3" s="3" t="str">
        <f xml:space="preserve"> Time!K$18</f>
        <v>PR19</v>
      </c>
      <c r="L3" s="3" t="str">
        <f xml:space="preserve"> Time!L$18</f>
        <v>PR19</v>
      </c>
      <c r="M3" s="3" t="str">
        <f xml:space="preserve"> Time!M$18</f>
        <v>PR19</v>
      </c>
      <c r="N3" s="3" t="str">
        <f xml:space="preserve"> Time!N$18</f>
        <v>PR19</v>
      </c>
      <c r="O3" s="3" t="str">
        <f xml:space="preserve"> Time!O$18</f>
        <v>PR24</v>
      </c>
      <c r="P3" s="3" t="str">
        <f xml:space="preserve"> Time!P$18</f>
        <v>PR24</v>
      </c>
      <c r="Q3" s="3" t="str">
        <f xml:space="preserve"> Time!Q$18</f>
        <v>PR24</v>
      </c>
      <c r="R3" s="3" t="str">
        <f xml:space="preserve"> Time!R$18</f>
        <v>PR24</v>
      </c>
      <c r="S3" s="3" t="str">
        <f xml:space="preserve"> Time!S$18</f>
        <v>PR24</v>
      </c>
    </row>
    <row r="4" spans="1:19" s="10" customFormat="1" x14ac:dyDescent="0.2">
      <c r="A4" s="13"/>
      <c r="B4" s="13"/>
      <c r="C4" s="23"/>
      <c r="D4" s="22"/>
      <c r="E4" s="6" t="s">
        <v>18</v>
      </c>
      <c r="F4" s="7"/>
      <c r="G4" s="6"/>
      <c r="H4" s="6"/>
      <c r="I4" s="6"/>
      <c r="J4" s="10">
        <f xml:space="preserve"> Time!J$23</f>
        <v>1</v>
      </c>
      <c r="K4" s="10">
        <f xml:space="preserve"> Time!K$23</f>
        <v>2</v>
      </c>
      <c r="L4" s="10">
        <f xml:space="preserve"> Time!L$23</f>
        <v>3</v>
      </c>
      <c r="M4" s="10">
        <f xml:space="preserve"> Time!M$23</f>
        <v>4</v>
      </c>
      <c r="N4" s="10">
        <f xml:space="preserve"> Time!N$23</f>
        <v>5</v>
      </c>
      <c r="O4" s="10">
        <f xml:space="preserve"> Time!O$23</f>
        <v>6</v>
      </c>
      <c r="P4" s="10">
        <f xml:space="preserve"> Time!P$23</f>
        <v>7</v>
      </c>
      <c r="Q4" s="10">
        <f xml:space="preserve"> Time!Q$23</f>
        <v>8</v>
      </c>
      <c r="R4" s="10">
        <f xml:space="preserve"> Time!R$23</f>
        <v>9</v>
      </c>
      <c r="S4" s="10">
        <f xml:space="preserve"> Time!S$23</f>
        <v>10</v>
      </c>
    </row>
    <row r="5" spans="1:19" s="11" customFormat="1" x14ac:dyDescent="0.2">
      <c r="A5" s="13"/>
      <c r="B5" s="13"/>
      <c r="C5" s="23"/>
      <c r="D5" s="22"/>
      <c r="E5" s="6" t="s">
        <v>19</v>
      </c>
      <c r="F5" s="7" t="s">
        <v>20</v>
      </c>
      <c r="G5" s="7" t="s">
        <v>21</v>
      </c>
      <c r="H5" s="7" t="s">
        <v>22</v>
      </c>
      <c r="I5" s="6"/>
      <c r="J5" s="1">
        <f xml:space="preserve"> Time!J$27</f>
        <v>1</v>
      </c>
      <c r="K5" s="1">
        <f xml:space="preserve"> Time!K$27</f>
        <v>2</v>
      </c>
      <c r="L5" s="1">
        <f xml:space="preserve"> Time!L$27</f>
        <v>3</v>
      </c>
      <c r="M5" s="1">
        <f xml:space="preserve"> Time!M$27</f>
        <v>4</v>
      </c>
      <c r="N5" s="1">
        <f xml:space="preserve"> Time!N$27</f>
        <v>5</v>
      </c>
      <c r="O5" s="1">
        <f xml:space="preserve"> Time!O$27</f>
        <v>6</v>
      </c>
      <c r="P5" s="1">
        <f xml:space="preserve"> Time!P$27</f>
        <v>7</v>
      </c>
      <c r="Q5" s="1">
        <f xml:space="preserve"> Time!Q$27</f>
        <v>8</v>
      </c>
      <c r="R5" s="1">
        <f xml:space="preserve"> Time!R$27</f>
        <v>9</v>
      </c>
      <c r="S5" s="1">
        <f xml:space="preserve"> Time!S$27</f>
        <v>10</v>
      </c>
    </row>
    <row r="6" spans="1:19" s="9" customFormat="1" x14ac:dyDescent="0.2">
      <c r="A6" s="7"/>
      <c r="B6" s="7"/>
      <c r="C6" s="24"/>
      <c r="F6" s="7"/>
      <c r="G6" s="7"/>
      <c r="H6" s="7"/>
    </row>
    <row r="8" spans="1:19" x14ac:dyDescent="0.2">
      <c r="B8" s="69" t="s">
        <v>122</v>
      </c>
    </row>
    <row r="9" spans="1:19" x14ac:dyDescent="0.2">
      <c r="A9" s="71"/>
      <c r="B9" s="71"/>
      <c r="C9" s="71"/>
      <c r="D9" s="71"/>
      <c r="E9" s="88" t="str">
        <f xml:space="preserve">  InpS!E$26</f>
        <v>Pre-inflation average RCV PR19</v>
      </c>
      <c r="F9" s="88">
        <f xml:space="preserve">  InpS!F$26</f>
        <v>8023.2075997205802</v>
      </c>
      <c r="G9" s="88" t="str">
        <f xml:space="preserve">  InpS!G$26</f>
        <v>£m</v>
      </c>
      <c r="M9" s="89"/>
    </row>
    <row r="10" spans="1:19" x14ac:dyDescent="0.2">
      <c r="A10" s="71"/>
      <c r="B10" s="71"/>
      <c r="C10" s="71"/>
      <c r="D10" s="71"/>
      <c r="E10" s="90" t="str">
        <f xml:space="preserve">  Wholesale!E$11</f>
        <v>CPIH factor</v>
      </c>
      <c r="F10" s="90">
        <f xml:space="preserve">  Wholesale!F$11</f>
        <v>1.1806332960179113</v>
      </c>
      <c r="G10" s="90" t="str">
        <f xml:space="preserve">  Wholesale!G$11</f>
        <v>factor</v>
      </c>
      <c r="M10" s="91"/>
    </row>
    <row r="11" spans="1:19" x14ac:dyDescent="0.2">
      <c r="E11" s="70" t="s">
        <v>122</v>
      </c>
      <c r="F11" s="89">
        <f xml:space="preserve">  $F9 * $F10</f>
        <v>9472.4660330940642</v>
      </c>
      <c r="G11" s="70" t="s">
        <v>29</v>
      </c>
      <c r="M11" s="89"/>
    </row>
    <row r="14" spans="1:19" x14ac:dyDescent="0.2">
      <c r="B14" s="69" t="s">
        <v>123</v>
      </c>
    </row>
    <row r="15" spans="1:19" x14ac:dyDescent="0.2">
      <c r="A15" s="71"/>
      <c r="B15" s="71"/>
      <c r="C15" s="71"/>
      <c r="D15" s="71"/>
      <c r="E15" s="88" t="str">
        <f xml:space="preserve">  InpS!E$24</f>
        <v>Pre-inflation run off PR19</v>
      </c>
      <c r="F15" s="88">
        <f xml:space="preserve">  InpS!F$24</f>
        <v>380.29894017961021</v>
      </c>
      <c r="G15" s="88" t="str">
        <f xml:space="preserve">  InpS!G$24</f>
        <v>£m</v>
      </c>
      <c r="M15" s="89"/>
    </row>
    <row r="16" spans="1:19" x14ac:dyDescent="0.2">
      <c r="A16" s="71"/>
      <c r="B16" s="71"/>
      <c r="C16" s="71"/>
      <c r="D16" s="71"/>
      <c r="E16" s="90" t="str">
        <f xml:space="preserve">  Wholesale!E$11</f>
        <v>CPIH factor</v>
      </c>
      <c r="F16" s="90">
        <f xml:space="preserve">  Wholesale!F$11</f>
        <v>1.1806332960179113</v>
      </c>
      <c r="G16" s="90" t="str">
        <f xml:space="preserve">  Wholesale!G$11</f>
        <v>factor</v>
      </c>
      <c r="M16" s="91"/>
    </row>
    <row r="17" spans="1:13" x14ac:dyDescent="0.2">
      <c r="E17" s="70" t="s">
        <v>123</v>
      </c>
      <c r="F17" s="89">
        <f xml:space="preserve">  $F15 * $F16</f>
        <v>448.99359121637173</v>
      </c>
      <c r="G17" s="70" t="s">
        <v>29</v>
      </c>
      <c r="M17" s="89"/>
    </row>
    <row r="20" spans="1:13" x14ac:dyDescent="0.2">
      <c r="B20" s="69" t="s">
        <v>124</v>
      </c>
    </row>
    <row r="21" spans="1:13" x14ac:dyDescent="0.2">
      <c r="A21" s="71"/>
      <c r="B21" s="71"/>
      <c r="C21" s="71"/>
      <c r="D21" s="71"/>
      <c r="E21" s="88" t="str">
        <f xml:space="preserve">  InpS!E$25</f>
        <v>Run off PR24</v>
      </c>
      <c r="F21" s="88">
        <f xml:space="preserve">  InpS!F$25</f>
        <v>498.37121209367302</v>
      </c>
      <c r="G21" s="88" t="str">
        <f xml:space="preserve">  InpS!G$25</f>
        <v>£m</v>
      </c>
      <c r="M21" s="89"/>
    </row>
    <row r="22" spans="1:13" x14ac:dyDescent="0.2">
      <c r="E22" s="89" t="str">
        <f t="shared" ref="E22:G22" si="0" xml:space="preserve">  E$17</f>
        <v>Run off PR19</v>
      </c>
      <c r="F22" s="89">
        <f t="shared" si="0"/>
        <v>448.99359121637173</v>
      </c>
      <c r="G22" s="89" t="str">
        <f t="shared" si="0"/>
        <v>£m</v>
      </c>
      <c r="M22" s="89"/>
    </row>
    <row r="23" spans="1:13" x14ac:dyDescent="0.2">
      <c r="E23" s="70" t="s">
        <v>124</v>
      </c>
      <c r="F23" s="89">
        <f xml:space="preserve">  $F21 - $F22</f>
        <v>49.377620877301297</v>
      </c>
      <c r="G23" s="70" t="s">
        <v>29</v>
      </c>
      <c r="M23" s="89"/>
    </row>
    <row r="26" spans="1:13" x14ac:dyDescent="0.2">
      <c r="B26" s="69" t="s">
        <v>125</v>
      </c>
    </row>
    <row r="27" spans="1:13" x14ac:dyDescent="0.2">
      <c r="E27" s="89" t="str">
        <f t="shared" ref="E27:G27" si="1" xml:space="preserve">  E$17</f>
        <v>Run off PR19</v>
      </c>
      <c r="F27" s="89">
        <f t="shared" si="1"/>
        <v>448.99359121637173</v>
      </c>
      <c r="G27" s="89" t="str">
        <f t="shared" si="1"/>
        <v>£m</v>
      </c>
      <c r="M27" s="89"/>
    </row>
    <row r="28" spans="1:13" x14ac:dyDescent="0.2">
      <c r="E28" s="89" t="str">
        <f t="shared" ref="E28:G28" si="2" xml:space="preserve">  E$11</f>
        <v>Average RCV PR19</v>
      </c>
      <c r="F28" s="89">
        <f t="shared" si="2"/>
        <v>9472.4660330940642</v>
      </c>
      <c r="G28" s="89" t="str">
        <f t="shared" si="2"/>
        <v>£m</v>
      </c>
      <c r="M28" s="89"/>
    </row>
    <row r="29" spans="1:13" x14ac:dyDescent="0.2">
      <c r="E29" s="70" t="s">
        <v>125</v>
      </c>
      <c r="F29" s="93">
        <f xml:space="preserve">  $F27 / $F28</f>
        <v>4.7399862891850719E-2</v>
      </c>
      <c r="G29" s="70" t="s">
        <v>64</v>
      </c>
      <c r="M29" s="93"/>
    </row>
    <row r="32" spans="1:13" x14ac:dyDescent="0.2">
      <c r="B32" s="69" t="s">
        <v>126</v>
      </c>
    </row>
    <row r="33" spans="1:13" x14ac:dyDescent="0.2">
      <c r="A33" s="71"/>
      <c r="B33" s="71"/>
      <c r="C33" s="71"/>
      <c r="D33" s="71"/>
      <c r="E33" s="88" t="str">
        <f xml:space="preserve">  InpS!E$25</f>
        <v>Run off PR24</v>
      </c>
      <c r="F33" s="88">
        <f xml:space="preserve">  InpS!F$25</f>
        <v>498.37121209367302</v>
      </c>
      <c r="G33" s="88" t="str">
        <f xml:space="preserve">  InpS!G$25</f>
        <v>£m</v>
      </c>
      <c r="M33" s="89"/>
    </row>
    <row r="34" spans="1:13" x14ac:dyDescent="0.2">
      <c r="A34" s="71"/>
      <c r="B34" s="71"/>
      <c r="C34" s="71"/>
      <c r="D34" s="71"/>
      <c r="E34" s="88" t="str">
        <f xml:space="preserve">  InpS!E$27</f>
        <v>Average RCV PR24</v>
      </c>
      <c r="F34" s="88">
        <f xml:space="preserve">  InpS!F$27</f>
        <v>11488.629221568635</v>
      </c>
      <c r="G34" s="88" t="str">
        <f xml:space="preserve">  InpS!G$27</f>
        <v>£m</v>
      </c>
      <c r="M34" s="89"/>
    </row>
    <row r="35" spans="1:13" x14ac:dyDescent="0.2">
      <c r="E35" s="70" t="s">
        <v>126</v>
      </c>
      <c r="F35" s="93">
        <f xml:space="preserve">  $F33 / $F34</f>
        <v>4.337951921696942E-2</v>
      </c>
      <c r="G35" s="70" t="s">
        <v>64</v>
      </c>
      <c r="M35" s="93"/>
    </row>
    <row r="38" spans="1:13" x14ac:dyDescent="0.2">
      <c r="B38" s="69" t="s">
        <v>127</v>
      </c>
    </row>
    <row r="39" spans="1:13" x14ac:dyDescent="0.2">
      <c r="E39" s="93" t="str">
        <f t="shared" ref="E39:G39" si="3" xml:space="preserve">  E$35</f>
        <v>Effective run off rate PR24</v>
      </c>
      <c r="F39" s="93">
        <f t="shared" si="3"/>
        <v>4.337951921696942E-2</v>
      </c>
      <c r="G39" s="93" t="str">
        <f t="shared" si="3"/>
        <v>%</v>
      </c>
      <c r="M39" s="93"/>
    </row>
    <row r="40" spans="1:13" x14ac:dyDescent="0.2">
      <c r="E40" s="93" t="str">
        <f t="shared" ref="E40:G40" si="4" xml:space="preserve">  E$29</f>
        <v>Effective run off rate PR19</v>
      </c>
      <c r="F40" s="93">
        <f t="shared" si="4"/>
        <v>4.7399862891850719E-2</v>
      </c>
      <c r="G40" s="93" t="str">
        <f t="shared" si="4"/>
        <v>%</v>
      </c>
      <c r="M40" s="93"/>
    </row>
    <row r="41" spans="1:13" x14ac:dyDescent="0.2">
      <c r="E41" s="70" t="s">
        <v>127</v>
      </c>
      <c r="F41" s="93">
        <f xml:space="preserve">  $F39 - $F40</f>
        <v>-4.0203436748812993E-3</v>
      </c>
      <c r="G41" s="70" t="s">
        <v>64</v>
      </c>
      <c r="M41" s="93"/>
    </row>
    <row r="44" spans="1:13" x14ac:dyDescent="0.2">
      <c r="B44" s="69" t="s">
        <v>128</v>
      </c>
    </row>
    <row r="45" spans="1:13" x14ac:dyDescent="0.2">
      <c r="E45" s="93" t="str">
        <f t="shared" ref="E45:G45" si="5" xml:space="preserve">  E$41</f>
        <v>Effective run off rate variance</v>
      </c>
      <c r="F45" s="93">
        <f xml:space="preserve">  F$41</f>
        <v>-4.0203436748812993E-3</v>
      </c>
      <c r="G45" s="93" t="str">
        <f t="shared" si="5"/>
        <v>%</v>
      </c>
      <c r="M45" s="93"/>
    </row>
    <row r="46" spans="1:13" x14ac:dyDescent="0.2">
      <c r="A46" s="71"/>
      <c r="B46" s="71"/>
      <c r="C46" s="71"/>
      <c r="D46" s="71"/>
      <c r="E46" s="88" t="str">
        <f xml:space="preserve">  InpS!E$27</f>
        <v>Average RCV PR24</v>
      </c>
      <c r="F46" s="88">
        <f xml:space="preserve">  InpS!F$27</f>
        <v>11488.629221568635</v>
      </c>
      <c r="G46" s="88" t="str">
        <f xml:space="preserve">  InpS!G$27</f>
        <v>£m</v>
      </c>
      <c r="M46" s="89"/>
    </row>
    <row r="47" spans="1:13" x14ac:dyDescent="0.2">
      <c r="E47" s="70" t="s">
        <v>128</v>
      </c>
      <c r="F47" s="89">
        <f xml:space="preserve">  $F45 * $F46</f>
        <v>-46.18823782398993</v>
      </c>
      <c r="G47" s="70" t="s">
        <v>29</v>
      </c>
      <c r="M47" s="89"/>
    </row>
    <row r="50" spans="1:13" x14ac:dyDescent="0.2">
      <c r="B50" s="69" t="s">
        <v>129</v>
      </c>
    </row>
    <row r="51" spans="1:13" x14ac:dyDescent="0.2">
      <c r="E51" s="89" t="str">
        <f t="shared" ref="E51:G51" si="6" xml:space="preserve">  E$23</f>
        <v>Run off variance</v>
      </c>
      <c r="F51" s="89">
        <f t="shared" si="6"/>
        <v>49.377620877301297</v>
      </c>
      <c r="G51" s="89" t="str">
        <f t="shared" si="6"/>
        <v>£m</v>
      </c>
      <c r="M51" s="89"/>
    </row>
    <row r="52" spans="1:13" x14ac:dyDescent="0.2">
      <c r="E52" s="89" t="str">
        <f t="shared" ref="E52:G52" si="7" xml:space="preserve">  E$47</f>
        <v>Impact of run off rates</v>
      </c>
      <c r="F52" s="89">
        <f t="shared" si="7"/>
        <v>-46.18823782398993</v>
      </c>
      <c r="G52" s="89" t="str">
        <f t="shared" si="7"/>
        <v>£m</v>
      </c>
      <c r="M52" s="89"/>
    </row>
    <row r="53" spans="1:13" x14ac:dyDescent="0.2">
      <c r="E53" s="70" t="s">
        <v>129</v>
      </c>
      <c r="F53" s="89">
        <f xml:space="preserve">  $F51 - $F52</f>
        <v>95.565858701291234</v>
      </c>
      <c r="G53" s="70" t="s">
        <v>29</v>
      </c>
      <c r="M53" s="89"/>
    </row>
    <row r="56" spans="1:13" x14ac:dyDescent="0.2">
      <c r="B56" s="69" t="s">
        <v>130</v>
      </c>
    </row>
    <row r="57" spans="1:13" x14ac:dyDescent="0.2">
      <c r="E57" s="89" t="str">
        <f t="shared" ref="E57:G57" si="8" xml:space="preserve">  E$23</f>
        <v>Run off variance</v>
      </c>
      <c r="F57" s="89">
        <f t="shared" si="8"/>
        <v>49.377620877301297</v>
      </c>
      <c r="G57" s="89" t="str">
        <f t="shared" si="8"/>
        <v>£m</v>
      </c>
      <c r="M57" s="89"/>
    </row>
    <row r="58" spans="1:13" x14ac:dyDescent="0.2">
      <c r="A58" s="71"/>
      <c r="B58" s="71"/>
      <c r="C58" s="71"/>
      <c r="D58" s="71"/>
      <c r="E58" s="72" t="str">
        <f xml:space="preserve">  'Cost to serve'!E$17</f>
        <v>Total number of households PR24</v>
      </c>
      <c r="F58" s="72">
        <f xml:space="preserve">  'Cost to serve'!F$17</f>
        <v>2625.0623727053376</v>
      </c>
      <c r="G58" s="72" t="str">
        <f xml:space="preserve">  'Cost to serve'!G$17</f>
        <v>000 customers</v>
      </c>
      <c r="M58" s="73"/>
    </row>
    <row r="59" spans="1:13" x14ac:dyDescent="0.2">
      <c r="A59" s="71"/>
      <c r="B59" s="71"/>
      <c r="C59" s="71"/>
      <c r="D59" s="71"/>
      <c r="E59" s="72" t="str">
        <f xml:space="preserve">  InpS!E$92</f>
        <v>Units in a thousand</v>
      </c>
      <c r="F59" s="72">
        <f xml:space="preserve">  InpS!F$92</f>
        <v>1000</v>
      </c>
      <c r="G59" s="72" t="str">
        <f xml:space="preserve">  InpS!G$92</f>
        <v>units</v>
      </c>
      <c r="M59" s="73"/>
    </row>
    <row r="60" spans="1:13" x14ac:dyDescent="0.2">
      <c r="E60" s="70" t="s">
        <v>130</v>
      </c>
      <c r="F60" s="89">
        <f xml:space="preserve">  $F57 / $F58 * $F59</f>
        <v>18.810075292197226</v>
      </c>
      <c r="G60" s="70" t="s">
        <v>50</v>
      </c>
      <c r="M60" s="89"/>
    </row>
    <row r="63" spans="1:13" x14ac:dyDescent="0.2">
      <c r="B63" s="69" t="s">
        <v>131</v>
      </c>
    </row>
    <row r="64" spans="1:13" x14ac:dyDescent="0.2">
      <c r="E64" s="89" t="str">
        <f t="shared" ref="E64:G64" si="9" xml:space="preserve">  E$60</f>
        <v>Pre-adjustment run off bill impact</v>
      </c>
      <c r="F64" s="89">
        <f t="shared" si="9"/>
        <v>18.810075292197226</v>
      </c>
      <c r="G64" s="89" t="str">
        <f t="shared" si="9"/>
        <v>£ / customer</v>
      </c>
      <c r="M64" s="89"/>
    </row>
    <row r="65" spans="1:13" x14ac:dyDescent="0.2">
      <c r="A65" s="71"/>
      <c r="B65" s="71"/>
      <c r="C65" s="71"/>
      <c r="D65" s="71"/>
      <c r="E65" s="90" t="str">
        <f xml:space="preserve">  Wholesale!E$44</f>
        <v>Adjustment factor</v>
      </c>
      <c r="F65" s="90">
        <f xml:space="preserve">  Wholesale!F$44</f>
        <v>0.83356606407476985</v>
      </c>
      <c r="G65" s="90" t="str">
        <f xml:space="preserve">  Wholesale!G$44</f>
        <v>factor</v>
      </c>
      <c r="M65" s="91"/>
    </row>
    <row r="66" spans="1:13" x14ac:dyDescent="0.2">
      <c r="A66" s="75"/>
      <c r="B66" s="75"/>
      <c r="C66" s="75"/>
      <c r="D66" s="75"/>
      <c r="E66" s="75" t="s">
        <v>131</v>
      </c>
      <c r="F66" s="94">
        <f xml:space="preserve">  $F64 * $F65</f>
        <v>15.679440426266918</v>
      </c>
      <c r="G66" s="75" t="s">
        <v>50</v>
      </c>
      <c r="M66" s="89"/>
    </row>
    <row r="69" spans="1:13" x14ac:dyDescent="0.2">
      <c r="B69" s="69" t="s">
        <v>35</v>
      </c>
    </row>
    <row r="70" spans="1:13" x14ac:dyDescent="0.2">
      <c r="E70" s="89" t="str">
        <f t="shared" ref="E70:G70" si="10" xml:space="preserve">  E$53</f>
        <v>Impact of increased RCV</v>
      </c>
      <c r="F70" s="89">
        <f t="shared" si="10"/>
        <v>95.565858701291234</v>
      </c>
      <c r="G70" s="89" t="str">
        <f t="shared" si="10"/>
        <v>£m</v>
      </c>
      <c r="M70" s="89"/>
    </row>
    <row r="71" spans="1:13" x14ac:dyDescent="0.2">
      <c r="E71" s="89" t="str">
        <f t="shared" ref="E71:G71" si="11" xml:space="preserve">  E$23</f>
        <v>Run off variance</v>
      </c>
      <c r="F71" s="89">
        <f t="shared" si="11"/>
        <v>49.377620877301297</v>
      </c>
      <c r="G71" s="89" t="str">
        <f t="shared" si="11"/>
        <v>£m</v>
      </c>
      <c r="M71" s="89"/>
    </row>
    <row r="72" spans="1:13" x14ac:dyDescent="0.2">
      <c r="E72" s="89" t="str">
        <f t="shared" ref="E72:G72" si="12" xml:space="preserve">  E$66</f>
        <v>Run off bill impact</v>
      </c>
      <c r="F72" s="89">
        <f t="shared" si="12"/>
        <v>15.679440426266918</v>
      </c>
      <c r="G72" s="89" t="str">
        <f t="shared" si="12"/>
        <v>£ / customer</v>
      </c>
      <c r="M72" s="89"/>
    </row>
    <row r="73" spans="1:13" x14ac:dyDescent="0.2">
      <c r="A73" s="75"/>
      <c r="B73" s="75"/>
      <c r="C73" s="75"/>
      <c r="D73" s="75"/>
      <c r="E73" s="75" t="s">
        <v>35</v>
      </c>
      <c r="F73" s="94">
        <f xml:space="preserve">  $F70 / $F71 * $F72</f>
        <v>30.346119591613522</v>
      </c>
      <c r="G73" s="75" t="s">
        <v>50</v>
      </c>
      <c r="M73" s="89"/>
    </row>
    <row r="76" spans="1:13" x14ac:dyDescent="0.2">
      <c r="B76" s="69" t="s">
        <v>132</v>
      </c>
    </row>
    <row r="77" spans="1:13" x14ac:dyDescent="0.2">
      <c r="E77" s="89" t="str">
        <f t="shared" ref="E77:G77" si="13" xml:space="preserve">  E$47</f>
        <v>Impact of run off rates</v>
      </c>
      <c r="F77" s="89">
        <f t="shared" si="13"/>
        <v>-46.18823782398993</v>
      </c>
      <c r="G77" s="89" t="str">
        <f t="shared" si="13"/>
        <v>£m</v>
      </c>
      <c r="M77" s="89"/>
    </row>
    <row r="78" spans="1:13" x14ac:dyDescent="0.2">
      <c r="E78" s="89" t="str">
        <f t="shared" ref="E78:G78" si="14" xml:space="preserve">  E$23</f>
        <v>Run off variance</v>
      </c>
      <c r="F78" s="89">
        <f t="shared" si="14"/>
        <v>49.377620877301297</v>
      </c>
      <c r="G78" s="89" t="str">
        <f t="shared" si="14"/>
        <v>£m</v>
      </c>
      <c r="M78" s="89"/>
    </row>
    <row r="79" spans="1:13" x14ac:dyDescent="0.2">
      <c r="E79" s="89" t="str">
        <f t="shared" ref="E79:G79" si="15" xml:space="preserve">  E$66</f>
        <v>Run off bill impact</v>
      </c>
      <c r="F79" s="89">
        <f t="shared" si="15"/>
        <v>15.679440426266918</v>
      </c>
      <c r="G79" s="89" t="str">
        <f t="shared" si="15"/>
        <v>£ / customer</v>
      </c>
      <c r="M79" s="89"/>
    </row>
    <row r="80" spans="1:13" x14ac:dyDescent="0.2">
      <c r="A80" s="75"/>
      <c r="B80" s="75"/>
      <c r="C80" s="75"/>
      <c r="D80" s="75"/>
      <c r="E80" s="75" t="s">
        <v>132</v>
      </c>
      <c r="F80" s="94">
        <f xml:space="preserve">  $F77 / $F78 * $F79</f>
        <v>-14.666679165346604</v>
      </c>
      <c r="G80" s="75" t="s">
        <v>50</v>
      </c>
      <c r="M80" s="89"/>
    </row>
    <row r="83" spans="2:2" x14ac:dyDescent="0.2">
      <c r="B83" s="70" t="s">
        <v>98</v>
      </c>
    </row>
  </sheetData>
  <conditionalFormatting sqref="F2">
    <cfRule type="cellIs" dxfId="61" priority="3" stopIfTrue="1" operator="equal">
      <formula>""</formula>
    </cfRule>
  </conditionalFormatting>
  <conditionalFormatting sqref="F2:F3">
    <cfRule type="cellIs" dxfId="60" priority="1" stopIfTrue="1" operator="notEqual">
      <formula>0</formula>
    </cfRule>
  </conditionalFormatting>
  <conditionalFormatting sqref="J3:S3">
    <cfRule type="cellIs" dxfId="59" priority="9" operator="equal">
      <formula>"PPA ext."</formula>
    </cfRule>
    <cfRule type="cellIs" dxfId="58" priority="10" operator="equal">
      <formula>"Delay"</formula>
    </cfRule>
    <cfRule type="cellIs" dxfId="57" priority="11" operator="equal">
      <formula>"Fin Close"</formula>
    </cfRule>
    <cfRule type="cellIs" dxfId="56" priority="12" stopIfTrue="1" operator="equal">
      <formula>"Construction"</formula>
    </cfRule>
    <cfRule type="cellIs" dxfId="55" priority="13" stopIfTrue="1" operator="equal">
      <formula>"Operations"</formula>
    </cfRule>
  </conditionalFormatting>
  <pageMargins left="0.70866141732283472" right="0.70866141732283472" top="0.74803149606299213" bottom="0.74803149606299213" header="0.31496062992125984" footer="0.31496062992125984"/>
  <pageSetup paperSize="9" scale="50" orientation="portrait"/>
  <headerFooter>
    <oddHeader>&amp;L&amp;"-,Regular"&amp;9&amp;K63656APage &amp;P of &amp;N&amp;C&amp;"-,Regular"&amp;9&amp;K63656A&amp;F&amp;R&amp;G</oddHeader>
    <oddFooter>&amp;LSheet: &amp;A&amp;RPrinted on &amp;D at &amp;T</oddFooter>
  </headerFooter>
  <customProperties>
    <customPr name="MMGroup" r:id="rId1"/>
    <customPr name="MMSheetType" r:id="rId2"/>
    <customPr name="MMTimeAxis" r:id="rId3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  <pageSetUpPr fitToPage="1"/>
  </sheetPr>
  <dimension ref="A1:S70"/>
  <sheetViews>
    <sheetView showGridLines="0" workbookViewId="0">
      <pane xSplit="9" ySplit="5" topLeftCell="J6" activePane="bottomRight" state="frozen"/>
      <selection pane="topRight"/>
      <selection pane="bottomLeft"/>
      <selection pane="bottomRight" activeCell="E23" sqref="E23"/>
    </sheetView>
  </sheetViews>
  <sheetFormatPr defaultColWidth="0" defaultRowHeight="13" outlineLevelRow="1" x14ac:dyDescent="0.2"/>
  <cols>
    <col min="1" max="4" width="1.44140625" style="70" customWidth="1"/>
    <col min="5" max="5" width="50.33203125" style="70" bestFit="1" customWidth="1"/>
    <col min="6" max="6" width="18.6640625" style="70" bestFit="1" customWidth="1"/>
    <col min="7" max="7" width="17" style="70" bestFit="1" customWidth="1"/>
    <col min="8" max="8" width="6.6640625" style="70" bestFit="1" customWidth="1"/>
    <col min="9" max="9" width="3.44140625" style="70" customWidth="1"/>
    <col min="10" max="19" width="11.109375" style="70" bestFit="1" customWidth="1"/>
    <col min="20" max="20" width="15.109375" style="70" hidden="1" customWidth="1"/>
    <col min="21" max="16384" width="15.109375" style="70" hidden="1"/>
  </cols>
  <sheetData>
    <row r="1" spans="1:19" s="20" customFormat="1" ht="26" x14ac:dyDescent="0.2">
      <c r="A1" s="25" t="str">
        <f ca="1" xml:space="preserve"> RIGHT(CELL("filename", A1), LEN(CELL("filename", A1)) - SEARCH("]", CELL("filename", A1)))</f>
        <v>Wholesale</v>
      </c>
      <c r="B1" s="19"/>
      <c r="C1" s="21"/>
      <c r="D1" s="17"/>
      <c r="F1" s="18" t="str">
        <f>HYPERLINK("#Contents!A1","Go to contents")</f>
        <v>Go to contents</v>
      </c>
      <c r="H1" s="12"/>
      <c r="J1" s="12"/>
    </row>
    <row r="2" spans="1:19" s="16" customFormat="1" x14ac:dyDescent="0.2">
      <c r="A2" s="13"/>
      <c r="B2" s="13"/>
      <c r="C2" s="23"/>
      <c r="D2" s="22"/>
      <c r="E2" s="6" t="s">
        <v>14</v>
      </c>
      <c r="F2" s="15">
        <v>0</v>
      </c>
      <c r="G2" s="14" t="s">
        <v>15</v>
      </c>
      <c r="H2" s="6"/>
      <c r="I2" s="6"/>
      <c r="J2" s="2">
        <f xml:space="preserve"> Time!J$13</f>
        <v>44286</v>
      </c>
      <c r="K2" s="2">
        <f xml:space="preserve"> Time!K$13</f>
        <v>44651</v>
      </c>
      <c r="L2" s="2">
        <f xml:space="preserve"> Time!L$13</f>
        <v>45016</v>
      </c>
      <c r="M2" s="2">
        <f xml:space="preserve"> Time!M$13</f>
        <v>45382</v>
      </c>
      <c r="N2" s="2">
        <f xml:space="preserve"> Time!N$13</f>
        <v>45747</v>
      </c>
      <c r="O2" s="2">
        <f xml:space="preserve"> Time!O$13</f>
        <v>46112</v>
      </c>
      <c r="P2" s="2">
        <f xml:space="preserve"> Time!P$13</f>
        <v>46477</v>
      </c>
      <c r="Q2" s="2">
        <f xml:space="preserve"> Time!Q$13</f>
        <v>46843</v>
      </c>
      <c r="R2" s="2">
        <f xml:space="preserve"> Time!R$13</f>
        <v>47208</v>
      </c>
      <c r="S2" s="2">
        <f xml:space="preserve"> Time!S$13</f>
        <v>47573</v>
      </c>
    </row>
    <row r="3" spans="1:19" s="11" customFormat="1" x14ac:dyDescent="0.2">
      <c r="A3" s="13"/>
      <c r="B3" s="13"/>
      <c r="C3" s="23"/>
      <c r="D3" s="22"/>
      <c r="E3" s="9" t="s">
        <v>16</v>
      </c>
      <c r="F3" s="15"/>
      <c r="G3" s="14" t="s">
        <v>17</v>
      </c>
      <c r="H3" s="6"/>
      <c r="I3" s="6"/>
      <c r="J3" s="3" t="str">
        <f xml:space="preserve"> Time!J$18</f>
        <v>PR19</v>
      </c>
      <c r="K3" s="3" t="str">
        <f xml:space="preserve"> Time!K$18</f>
        <v>PR19</v>
      </c>
      <c r="L3" s="3" t="str">
        <f xml:space="preserve"> Time!L$18</f>
        <v>PR19</v>
      </c>
      <c r="M3" s="3" t="str">
        <f xml:space="preserve"> Time!M$18</f>
        <v>PR19</v>
      </c>
      <c r="N3" s="3" t="str">
        <f xml:space="preserve"> Time!N$18</f>
        <v>PR19</v>
      </c>
      <c r="O3" s="3" t="str">
        <f xml:space="preserve"> Time!O$18</f>
        <v>PR24</v>
      </c>
      <c r="P3" s="3" t="str">
        <f xml:space="preserve"> Time!P$18</f>
        <v>PR24</v>
      </c>
      <c r="Q3" s="3" t="str">
        <f xml:space="preserve"> Time!Q$18</f>
        <v>PR24</v>
      </c>
      <c r="R3" s="3" t="str">
        <f xml:space="preserve"> Time!R$18</f>
        <v>PR24</v>
      </c>
      <c r="S3" s="3" t="str">
        <f xml:space="preserve"> Time!S$18</f>
        <v>PR24</v>
      </c>
    </row>
    <row r="4" spans="1:19" s="10" customFormat="1" x14ac:dyDescent="0.2">
      <c r="A4" s="13"/>
      <c r="B4" s="13"/>
      <c r="C4" s="23"/>
      <c r="D4" s="22"/>
      <c r="E4" s="6" t="s">
        <v>18</v>
      </c>
      <c r="F4" s="7"/>
      <c r="G4" s="6"/>
      <c r="H4" s="6"/>
      <c r="I4" s="6"/>
      <c r="J4" s="10">
        <f xml:space="preserve"> Time!J$23</f>
        <v>1</v>
      </c>
      <c r="K4" s="10">
        <f xml:space="preserve"> Time!K$23</f>
        <v>2</v>
      </c>
      <c r="L4" s="10">
        <f xml:space="preserve"> Time!L$23</f>
        <v>3</v>
      </c>
      <c r="M4" s="10">
        <f xml:space="preserve"> Time!M$23</f>
        <v>4</v>
      </c>
      <c r="N4" s="10">
        <f xml:space="preserve"> Time!N$23</f>
        <v>5</v>
      </c>
      <c r="O4" s="10">
        <f xml:space="preserve"> Time!O$23</f>
        <v>6</v>
      </c>
      <c r="P4" s="10">
        <f xml:space="preserve"> Time!P$23</f>
        <v>7</v>
      </c>
      <c r="Q4" s="10">
        <f xml:space="preserve"> Time!Q$23</f>
        <v>8</v>
      </c>
      <c r="R4" s="10">
        <f xml:space="preserve"> Time!R$23</f>
        <v>9</v>
      </c>
      <c r="S4" s="10">
        <f xml:space="preserve"> Time!S$23</f>
        <v>10</v>
      </c>
    </row>
    <row r="5" spans="1:19" s="11" customFormat="1" x14ac:dyDescent="0.2">
      <c r="A5" s="13"/>
      <c r="B5" s="13"/>
      <c r="C5" s="23"/>
      <c r="D5" s="22"/>
      <c r="E5" s="6" t="s">
        <v>19</v>
      </c>
      <c r="F5" s="7" t="s">
        <v>20</v>
      </c>
      <c r="G5" s="7" t="s">
        <v>21</v>
      </c>
      <c r="H5" s="7" t="s">
        <v>22</v>
      </c>
      <c r="I5" s="6"/>
      <c r="J5" s="1">
        <f xml:space="preserve"> Time!J$27</f>
        <v>1</v>
      </c>
      <c r="K5" s="1">
        <f xml:space="preserve"> Time!K$27</f>
        <v>2</v>
      </c>
      <c r="L5" s="1">
        <f xml:space="preserve"> Time!L$27</f>
        <v>3</v>
      </c>
      <c r="M5" s="1">
        <f xml:space="preserve"> Time!M$27</f>
        <v>4</v>
      </c>
      <c r="N5" s="1">
        <f xml:space="preserve"> Time!N$27</f>
        <v>5</v>
      </c>
      <c r="O5" s="1">
        <f xml:space="preserve"> Time!O$27</f>
        <v>6</v>
      </c>
      <c r="P5" s="1">
        <f xml:space="preserve"> Time!P$27</f>
        <v>7</v>
      </c>
      <c r="Q5" s="1">
        <f xml:space="preserve"> Time!Q$27</f>
        <v>8</v>
      </c>
      <c r="R5" s="1">
        <f xml:space="preserve"> Time!R$27</f>
        <v>9</v>
      </c>
      <c r="S5" s="1">
        <f xml:space="preserve"> Time!S$27</f>
        <v>10</v>
      </c>
    </row>
    <row r="6" spans="1:19" s="9" customFormat="1" x14ac:dyDescent="0.2">
      <c r="A6" s="7"/>
      <c r="B6" s="7"/>
      <c r="C6" s="24"/>
      <c r="F6" s="7"/>
      <c r="G6" s="7"/>
      <c r="H6" s="7"/>
    </row>
    <row r="8" spans="1:19" x14ac:dyDescent="0.2">
      <c r="B8" s="69" t="s">
        <v>133</v>
      </c>
    </row>
    <row r="9" spans="1:19" x14ac:dyDescent="0.2">
      <c r="A9" s="71"/>
      <c r="B9" s="71"/>
      <c r="C9" s="71"/>
      <c r="D9" s="71"/>
      <c r="E9" s="90" t="str">
        <f xml:space="preserve">  InpS!E$32</f>
        <v>CPIH 2022-23</v>
      </c>
      <c r="F9" s="90">
        <f xml:space="preserve">  InpS!F$32</f>
        <v>123.04166666666664</v>
      </c>
      <c r="G9" s="90" t="str">
        <f xml:space="preserve">  InpS!G$32</f>
        <v>index</v>
      </c>
      <c r="M9" s="91"/>
    </row>
    <row r="10" spans="1:19" x14ac:dyDescent="0.2">
      <c r="A10" s="71"/>
      <c r="B10" s="71"/>
      <c r="C10" s="71"/>
      <c r="D10" s="71"/>
      <c r="E10" s="90" t="str">
        <f xml:space="preserve">  InpS!E$31</f>
        <v>CPIH 2017-18</v>
      </c>
      <c r="F10" s="90">
        <f xml:space="preserve">  InpS!F$31</f>
        <v>104.21666666666665</v>
      </c>
      <c r="G10" s="90" t="str">
        <f xml:space="preserve">  InpS!G$31</f>
        <v>index</v>
      </c>
      <c r="M10" s="91"/>
    </row>
    <row r="11" spans="1:19" x14ac:dyDescent="0.2">
      <c r="A11" s="75"/>
      <c r="B11" s="75"/>
      <c r="C11" s="75"/>
      <c r="D11" s="75"/>
      <c r="E11" s="75" t="s">
        <v>133</v>
      </c>
      <c r="F11" s="95">
        <f xml:space="preserve">  $F9 / $F10</f>
        <v>1.1806332960179113</v>
      </c>
      <c r="G11" s="75" t="s">
        <v>115</v>
      </c>
      <c r="M11" s="91"/>
    </row>
    <row r="14" spans="1:19" x14ac:dyDescent="0.2">
      <c r="B14" s="69" t="s">
        <v>134</v>
      </c>
    </row>
    <row r="15" spans="1:19" x14ac:dyDescent="0.2">
      <c r="A15" s="71"/>
      <c r="B15" s="71"/>
      <c r="C15" s="71"/>
      <c r="D15" s="71"/>
      <c r="E15" s="88" t="str">
        <f xml:space="preserve">  InpS!E$39</f>
        <v>Combined average bills PR24</v>
      </c>
      <c r="F15" s="88">
        <f xml:space="preserve">  InpS!F$39</f>
        <v>558.41118449859835</v>
      </c>
      <c r="G15" s="88" t="str">
        <f xml:space="preserve">  InpS!G$39</f>
        <v>£ / customer</v>
      </c>
      <c r="M15" s="89"/>
    </row>
    <row r="16" spans="1:19" x14ac:dyDescent="0.2">
      <c r="A16" s="71"/>
      <c r="B16" s="71"/>
      <c r="C16" s="71"/>
      <c r="D16" s="71"/>
      <c r="E16" s="88" t="str">
        <f xml:space="preserve">  InpS!E$38</f>
        <v>Combined average bills PR19 (2022-23 prices)</v>
      </c>
      <c r="F16" s="88">
        <f xml:space="preserve">  InpS!F$38</f>
        <v>472.38795616390502</v>
      </c>
      <c r="G16" s="88" t="str">
        <f xml:space="preserve">  InpS!G$38</f>
        <v>£ / customer</v>
      </c>
      <c r="M16" s="89"/>
    </row>
    <row r="17" spans="1:13" x14ac:dyDescent="0.2">
      <c r="E17" s="70" t="s">
        <v>134</v>
      </c>
      <c r="F17" s="89">
        <f xml:space="preserve">  $F15 - $F16</f>
        <v>86.023228334693329</v>
      </c>
      <c r="G17" s="70" t="s">
        <v>50</v>
      </c>
      <c r="M17" s="89"/>
    </row>
    <row r="20" spans="1:13" x14ac:dyDescent="0.2">
      <c r="B20" s="69" t="s">
        <v>135</v>
      </c>
    </row>
    <row r="21" spans="1:13" x14ac:dyDescent="0.2">
      <c r="E21" s="89" t="str">
        <f t="shared" ref="E21:G21" si="0" xml:space="preserve">  E$17</f>
        <v>Total bill impact</v>
      </c>
      <c r="F21" s="89">
        <f t="shared" si="0"/>
        <v>86.023228334693329</v>
      </c>
      <c r="G21" s="89" t="str">
        <f t="shared" si="0"/>
        <v>£ / customer</v>
      </c>
      <c r="M21" s="89"/>
    </row>
    <row r="22" spans="1:13" x14ac:dyDescent="0.2">
      <c r="A22" s="71"/>
      <c r="B22" s="71"/>
      <c r="C22" s="71"/>
      <c r="D22" s="71"/>
      <c r="E22" s="88" t="str">
        <f xml:space="preserve">  'Customer number impacts'!E$25</f>
        <v>Customer numbers &amp; retail apportionment</v>
      </c>
      <c r="F22" s="88">
        <f xml:space="preserve">  'Customer number impacts'!F$25</f>
        <v>-21.830990985117182</v>
      </c>
      <c r="G22" s="88" t="str">
        <f xml:space="preserve">  'Customer number impacts'!G$25</f>
        <v>£ / customer</v>
      </c>
      <c r="M22" s="89"/>
    </row>
    <row r="23" spans="1:13" x14ac:dyDescent="0.2">
      <c r="A23" s="71"/>
      <c r="B23" s="71"/>
      <c r="C23" s="71"/>
      <c r="D23" s="71"/>
      <c r="E23" s="88" t="str">
        <f xml:space="preserve">  'Cost to serve'!E$37</f>
        <v>Retail cost to serve</v>
      </c>
      <c r="F23" s="88">
        <f xml:space="preserve">  'Cost to serve'!F$37</f>
        <v>3.1034868761533616</v>
      </c>
      <c r="G23" s="88" t="str">
        <f xml:space="preserve">  'Cost to serve'!G$37</f>
        <v>£ / customer</v>
      </c>
      <c r="M23" s="89"/>
    </row>
    <row r="24" spans="1:13" x14ac:dyDescent="0.2">
      <c r="A24" s="75"/>
      <c r="B24" s="75"/>
      <c r="C24" s="75"/>
      <c r="D24" s="75"/>
      <c r="E24" s="75" t="s">
        <v>135</v>
      </c>
      <c r="F24" s="94">
        <f xml:space="preserve">  $F21 - $F22 - $F23</f>
        <v>104.75073244365714</v>
      </c>
      <c r="G24" s="75" t="s">
        <v>50</v>
      </c>
      <c r="M24" s="89"/>
    </row>
    <row r="27" spans="1:13" x14ac:dyDescent="0.2">
      <c r="B27" s="69" t="s">
        <v>136</v>
      </c>
    </row>
    <row r="28" spans="1:13" x14ac:dyDescent="0.2">
      <c r="A28" s="71"/>
      <c r="B28" s="71"/>
      <c r="C28" s="71"/>
      <c r="D28" s="71"/>
      <c r="E28" s="88" t="str">
        <f xml:space="preserve">  InpS!E$34</f>
        <v>Pre-inflation final profiled allowed revenues PR19</v>
      </c>
      <c r="F28" s="88">
        <f xml:space="preserve">  InpS!F$34</f>
        <v>1182.7736697319526</v>
      </c>
      <c r="G28" s="88" t="str">
        <f xml:space="preserve">  InpS!G$34</f>
        <v>£m</v>
      </c>
      <c r="M28" s="89"/>
    </row>
    <row r="29" spans="1:13" x14ac:dyDescent="0.2">
      <c r="E29" s="91" t="str">
        <f t="shared" ref="E29:G29" si="1" xml:space="preserve">  E$11</f>
        <v>CPIH factor</v>
      </c>
      <c r="F29" s="91">
        <f t="shared" si="1"/>
        <v>1.1806332960179113</v>
      </c>
      <c r="G29" s="91" t="str">
        <f t="shared" si="1"/>
        <v>factor</v>
      </c>
      <c r="M29" s="91"/>
    </row>
    <row r="30" spans="1:13" x14ac:dyDescent="0.2">
      <c r="E30" s="70" t="s">
        <v>136</v>
      </c>
      <c r="F30" s="89">
        <f xml:space="preserve">  $F28 * $F29</f>
        <v>1396.4219761388358</v>
      </c>
      <c r="G30" s="70" t="s">
        <v>29</v>
      </c>
      <c r="M30" s="89"/>
    </row>
    <row r="33" spans="1:13" x14ac:dyDescent="0.2">
      <c r="B33" s="69" t="s">
        <v>137</v>
      </c>
    </row>
    <row r="34" spans="1:13" x14ac:dyDescent="0.2">
      <c r="A34" s="71"/>
      <c r="B34" s="71"/>
      <c r="C34" s="71"/>
      <c r="D34" s="71"/>
      <c r="E34" s="88" t="str">
        <f xml:space="preserve">  InpS!E$35</f>
        <v>Final profiled allowed revenues PR24</v>
      </c>
      <c r="F34" s="88">
        <f xml:space="preserve">  InpS!F$35</f>
        <v>1726.3024956347729</v>
      </c>
      <c r="G34" s="88" t="str">
        <f xml:space="preserve">  InpS!G$35</f>
        <v>£m</v>
      </c>
      <c r="M34" s="89"/>
    </row>
    <row r="35" spans="1:13" x14ac:dyDescent="0.2">
      <c r="E35" s="89" t="str">
        <f t="shared" ref="E35:G35" si="2" xml:space="preserve">  E$30</f>
        <v>Profiled allowed revenues PR19</v>
      </c>
      <c r="F35" s="89">
        <f t="shared" si="2"/>
        <v>1396.4219761388358</v>
      </c>
      <c r="G35" s="89" t="str">
        <f t="shared" si="2"/>
        <v>£m</v>
      </c>
      <c r="M35" s="89"/>
    </row>
    <row r="36" spans="1:13" x14ac:dyDescent="0.2">
      <c r="A36" s="71"/>
      <c r="B36" s="71"/>
      <c r="C36" s="71"/>
      <c r="D36" s="71"/>
      <c r="E36" s="72" t="str">
        <f xml:space="preserve">  'Cost to serve'!E$17</f>
        <v>Total number of households PR24</v>
      </c>
      <c r="F36" s="72">
        <f xml:space="preserve">  'Cost to serve'!F$17</f>
        <v>2625.0623727053376</v>
      </c>
      <c r="G36" s="72" t="str">
        <f xml:space="preserve">  'Cost to serve'!G$17</f>
        <v>000 customers</v>
      </c>
      <c r="M36" s="73"/>
    </row>
    <row r="37" spans="1:13" x14ac:dyDescent="0.2">
      <c r="A37" s="71"/>
      <c r="B37" s="71"/>
      <c r="C37" s="71"/>
      <c r="D37" s="71"/>
      <c r="E37" s="72" t="str">
        <f xml:space="preserve">  InpS!E$92</f>
        <v>Units in a thousand</v>
      </c>
      <c r="F37" s="72">
        <f xml:space="preserve">  InpS!F$92</f>
        <v>1000</v>
      </c>
      <c r="G37" s="72" t="str">
        <f xml:space="preserve">  InpS!G$92</f>
        <v>units</v>
      </c>
      <c r="M37" s="73"/>
    </row>
    <row r="38" spans="1:13" x14ac:dyDescent="0.2">
      <c r="E38" s="70" t="s">
        <v>137</v>
      </c>
      <c r="F38" s="89">
        <f xml:space="preserve">  ( $F34 - $F35 ) / $F36 * $F37</f>
        <v>125.66578338326059</v>
      </c>
      <c r="G38" s="70" t="s">
        <v>50</v>
      </c>
      <c r="M38" s="89"/>
    </row>
    <row r="41" spans="1:13" x14ac:dyDescent="0.2">
      <c r="B41" s="69" t="s">
        <v>138</v>
      </c>
    </row>
    <row r="42" spans="1:13" x14ac:dyDescent="0.2">
      <c r="E42" s="89" t="str">
        <f t="shared" ref="E42:G42" si="3" xml:space="preserve">  E$24</f>
        <v>Wholesale bill impact</v>
      </c>
      <c r="F42" s="89">
        <f xml:space="preserve">  F$24</f>
        <v>104.75073244365714</v>
      </c>
      <c r="G42" s="89" t="str">
        <f t="shared" si="3"/>
        <v>£ / customer</v>
      </c>
      <c r="M42" s="89"/>
    </row>
    <row r="43" spans="1:13" x14ac:dyDescent="0.2">
      <c r="E43" s="89" t="str">
        <f t="shared" ref="E43:G43" si="4" xml:space="preserve">  E$38</f>
        <v>Profiled allowed revenues per customer</v>
      </c>
      <c r="F43" s="89">
        <f xml:space="preserve">  F$38</f>
        <v>125.66578338326059</v>
      </c>
      <c r="G43" s="89" t="str">
        <f t="shared" si="4"/>
        <v>£ / customer</v>
      </c>
      <c r="M43" s="89"/>
    </row>
    <row r="44" spans="1:13" x14ac:dyDescent="0.2">
      <c r="A44" s="75"/>
      <c r="B44" s="75"/>
      <c r="C44" s="75"/>
      <c r="D44" s="75"/>
      <c r="E44" s="75" t="s">
        <v>138</v>
      </c>
      <c r="F44" s="95">
        <f xml:space="preserve">  $F42 / $F43</f>
        <v>0.83356606407476985</v>
      </c>
      <c r="G44" s="75" t="s">
        <v>115</v>
      </c>
      <c r="M44" s="91"/>
    </row>
    <row r="48" spans="1:13" x14ac:dyDescent="0.2">
      <c r="A48" s="69" t="s">
        <v>139</v>
      </c>
    </row>
    <row r="49" spans="1:13" outlineLevel="1" x14ac:dyDescent="0.2">
      <c r="B49" s="69" t="s">
        <v>140</v>
      </c>
    </row>
    <row r="50" spans="1:13" outlineLevel="1" x14ac:dyDescent="0.2">
      <c r="A50" s="71"/>
      <c r="B50" s="71"/>
      <c r="C50" s="71"/>
      <c r="D50" s="71"/>
      <c r="E50" s="88" t="str">
        <f xml:space="preserve">  InpS!E$36</f>
        <v>Pre-inflation final return on capital PR19</v>
      </c>
      <c r="F50" s="88">
        <f xml:space="preserve">  InpS!F$36</f>
        <v>217.27059028145726</v>
      </c>
      <c r="G50" s="88" t="str">
        <f xml:space="preserve">  InpS!G$36</f>
        <v>£m</v>
      </c>
      <c r="M50" s="89"/>
    </row>
    <row r="51" spans="1:13" outlineLevel="1" x14ac:dyDescent="0.2">
      <c r="E51" s="91" t="str">
        <f t="shared" ref="E51:G51" si="5" xml:space="preserve">  E$11</f>
        <v>CPIH factor</v>
      </c>
      <c r="F51" s="91">
        <f t="shared" si="5"/>
        <v>1.1806332960179113</v>
      </c>
      <c r="G51" s="91" t="str">
        <f t="shared" si="5"/>
        <v>factor</v>
      </c>
      <c r="M51" s="91"/>
    </row>
    <row r="52" spans="1:13" outlineLevel="1" x14ac:dyDescent="0.2">
      <c r="E52" s="70" t="s">
        <v>140</v>
      </c>
      <c r="F52" s="89">
        <f xml:space="preserve">  $F50 * $F51</f>
        <v>256.51689313175405</v>
      </c>
      <c r="G52" s="70" t="s">
        <v>29</v>
      </c>
      <c r="M52" s="89"/>
    </row>
    <row r="53" spans="1:13" outlineLevel="1" x14ac:dyDescent="0.2"/>
    <row r="54" spans="1:13" outlineLevel="1" x14ac:dyDescent="0.2"/>
    <row r="55" spans="1:13" outlineLevel="1" x14ac:dyDescent="0.2">
      <c r="B55" s="69" t="s">
        <v>141</v>
      </c>
    </row>
    <row r="56" spans="1:13" outlineLevel="1" x14ac:dyDescent="0.2">
      <c r="A56" s="71"/>
      <c r="B56" s="71"/>
      <c r="C56" s="71"/>
      <c r="D56" s="71"/>
      <c r="E56" s="88" t="str">
        <f xml:space="preserve">  InpS!E$37</f>
        <v>Final return on capital PR24</v>
      </c>
      <c r="F56" s="88">
        <f xml:space="preserve">  InpS!F$37</f>
        <v>358.13811768387228</v>
      </c>
      <c r="G56" s="88" t="str">
        <f xml:space="preserve">  InpS!G$37</f>
        <v>£m</v>
      </c>
      <c r="M56" s="89"/>
    </row>
    <row r="57" spans="1:13" outlineLevel="1" x14ac:dyDescent="0.2">
      <c r="E57" s="89" t="str">
        <f t="shared" ref="E57:G57" si="6" xml:space="preserve">  E$52</f>
        <v>Final return on capital PR19</v>
      </c>
      <c r="F57" s="89">
        <f t="shared" si="6"/>
        <v>256.51689313175405</v>
      </c>
      <c r="G57" s="89" t="str">
        <f t="shared" si="6"/>
        <v>£m</v>
      </c>
      <c r="M57" s="89"/>
    </row>
    <row r="58" spans="1:13" outlineLevel="1" x14ac:dyDescent="0.2">
      <c r="A58" s="71"/>
      <c r="B58" s="71"/>
      <c r="C58" s="71"/>
      <c r="D58" s="71"/>
      <c r="E58" s="72" t="str">
        <f xml:space="preserve">  'Cost to serve'!E$17</f>
        <v>Total number of households PR24</v>
      </c>
      <c r="F58" s="72">
        <f xml:space="preserve">  'Cost to serve'!F$17</f>
        <v>2625.0623727053376</v>
      </c>
      <c r="G58" s="72" t="str">
        <f xml:space="preserve">  'Cost to serve'!G$17</f>
        <v>000 customers</v>
      </c>
      <c r="M58" s="73"/>
    </row>
    <row r="59" spans="1:13" outlineLevel="1" x14ac:dyDescent="0.2">
      <c r="A59" s="71"/>
      <c r="B59" s="71"/>
      <c r="C59" s="71"/>
      <c r="D59" s="71"/>
      <c r="E59" s="72" t="str">
        <f xml:space="preserve">  InpS!E$92</f>
        <v>Units in a thousand</v>
      </c>
      <c r="F59" s="72">
        <f xml:space="preserve">  InpS!F$92</f>
        <v>1000</v>
      </c>
      <c r="G59" s="72" t="str">
        <f xml:space="preserve">  InpS!G$92</f>
        <v>units</v>
      </c>
      <c r="M59" s="73"/>
    </row>
    <row r="60" spans="1:13" outlineLevel="1" x14ac:dyDescent="0.2">
      <c r="E60" s="70" t="s">
        <v>141</v>
      </c>
      <c r="F60" s="89">
        <f xml:space="preserve">  ( $F56 - $F57 ) / $F58 * $F59</f>
        <v>38.711927613129205</v>
      </c>
      <c r="G60" s="70" t="s">
        <v>50</v>
      </c>
      <c r="M60" s="89"/>
    </row>
    <row r="61" spans="1:13" outlineLevel="1" x14ac:dyDescent="0.2"/>
    <row r="62" spans="1:13" outlineLevel="1" x14ac:dyDescent="0.2"/>
    <row r="63" spans="1:13" outlineLevel="1" x14ac:dyDescent="0.2">
      <c r="B63" s="69" t="s">
        <v>139</v>
      </c>
    </row>
    <row r="64" spans="1:13" outlineLevel="1" x14ac:dyDescent="0.2">
      <c r="E64" s="89" t="str">
        <f t="shared" ref="E64:G64" si="7" xml:space="preserve">  E$60</f>
        <v>Pre-adjustment WACC</v>
      </c>
      <c r="F64" s="89">
        <f xml:space="preserve">  F$60</f>
        <v>38.711927613129205</v>
      </c>
      <c r="G64" s="89" t="str">
        <f t="shared" si="7"/>
        <v>£ / customer</v>
      </c>
      <c r="M64" s="89"/>
    </row>
    <row r="65" spans="1:13" outlineLevel="1" x14ac:dyDescent="0.2">
      <c r="E65" s="91" t="str">
        <f t="shared" ref="E65:G65" si="8" xml:space="preserve">  E$44</f>
        <v>Adjustment factor</v>
      </c>
      <c r="F65" s="91">
        <f xml:space="preserve">  F$44</f>
        <v>0.83356606407476985</v>
      </c>
      <c r="G65" s="91" t="str">
        <f t="shared" si="8"/>
        <v>factor</v>
      </c>
      <c r="M65" s="91"/>
    </row>
    <row r="66" spans="1:13" outlineLevel="1" x14ac:dyDescent="0.2">
      <c r="A66" s="75"/>
      <c r="B66" s="75"/>
      <c r="C66" s="75"/>
      <c r="D66" s="75"/>
      <c r="E66" s="75" t="s">
        <v>139</v>
      </c>
      <c r="F66" s="94">
        <f xml:space="preserve">  $F64 * $F65</f>
        <v>32.268949133223515</v>
      </c>
      <c r="G66" s="75" t="s">
        <v>50</v>
      </c>
      <c r="M66" s="89"/>
    </row>
    <row r="67" spans="1:13" outlineLevel="1" x14ac:dyDescent="0.2"/>
    <row r="70" spans="1:13" x14ac:dyDescent="0.2">
      <c r="B70" s="70" t="s">
        <v>98</v>
      </c>
    </row>
  </sheetData>
  <conditionalFormatting sqref="F2">
    <cfRule type="cellIs" dxfId="54" priority="3" stopIfTrue="1" operator="equal">
      <formula>""</formula>
    </cfRule>
  </conditionalFormatting>
  <conditionalFormatting sqref="F2:F3">
    <cfRule type="cellIs" dxfId="53" priority="1" stopIfTrue="1" operator="notEqual">
      <formula>0</formula>
    </cfRule>
  </conditionalFormatting>
  <conditionalFormatting sqref="J3:S3">
    <cfRule type="cellIs" dxfId="52" priority="9" operator="equal">
      <formula>"PPA ext."</formula>
    </cfRule>
    <cfRule type="cellIs" dxfId="51" priority="10" operator="equal">
      <formula>"Delay"</formula>
    </cfRule>
    <cfRule type="cellIs" dxfId="50" priority="11" operator="equal">
      <formula>"Fin Close"</formula>
    </cfRule>
    <cfRule type="cellIs" dxfId="49" priority="12" stopIfTrue="1" operator="equal">
      <formula>"Construction"</formula>
    </cfRule>
    <cfRule type="cellIs" dxfId="48" priority="13" stopIfTrue="1" operator="equal">
      <formula>"Operations"</formula>
    </cfRule>
  </conditionalFormatting>
  <pageMargins left="0.70866141732283472" right="0.70866141732283472" top="0.74803149606299213" bottom="0.74803149606299213" header="0.31496062992125984" footer="0.31496062992125984"/>
  <pageSetup paperSize="9" scale="50" orientation="portrait"/>
  <headerFooter>
    <oddHeader>&amp;L&amp;"-,Regular"&amp;9&amp;K63656APage &amp;P of &amp;N&amp;C&amp;"-,Regular"&amp;9&amp;K63656A&amp;F&amp;R&amp;G</oddHeader>
    <oddFooter>&amp;LSheet: &amp;A&amp;RPrinted on &amp;D at &amp;T</oddFooter>
  </headerFooter>
  <customProperties>
    <customPr name="MMGroup" r:id="rId1"/>
    <customPr name="MMSheetType" r:id="rId2"/>
    <customPr name="MMTimeAxis" r:id="rId3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  <pageSetUpPr fitToPage="1"/>
  </sheetPr>
  <dimension ref="A1:S28"/>
  <sheetViews>
    <sheetView showGridLines="0" workbookViewId="0">
      <pane xSplit="9" ySplit="5" topLeftCell="J6" activePane="bottomRight" state="frozen"/>
      <selection pane="topRight"/>
      <selection pane="bottomLeft"/>
      <selection pane="bottomRight" activeCell="J6" sqref="J6"/>
    </sheetView>
  </sheetViews>
  <sheetFormatPr defaultColWidth="0" defaultRowHeight="13" x14ac:dyDescent="0.2"/>
  <cols>
    <col min="1" max="4" width="1.44140625" style="70" customWidth="1"/>
    <col min="5" max="5" width="50.6640625" style="70" bestFit="1" customWidth="1"/>
    <col min="6" max="6" width="18.6640625" style="70" bestFit="1" customWidth="1"/>
    <col min="7" max="7" width="17" style="70" bestFit="1" customWidth="1"/>
    <col min="8" max="8" width="6.6640625" style="70" bestFit="1" customWidth="1"/>
    <col min="9" max="9" width="3.44140625" style="70" customWidth="1"/>
    <col min="10" max="19" width="11.109375" style="70" bestFit="1" customWidth="1"/>
    <col min="20" max="20" width="15.109375" style="70" hidden="1" customWidth="1"/>
    <col min="21" max="16384" width="15.109375" style="70" hidden="1"/>
  </cols>
  <sheetData>
    <row r="1" spans="1:19" s="20" customFormat="1" ht="26" x14ac:dyDescent="0.2">
      <c r="A1" s="25" t="str">
        <f ca="1" xml:space="preserve"> RIGHT(CELL("filename", A1), LEN(CELL("filename", A1)) - SEARCH("]", CELL("filename", A1)))</f>
        <v>Wholesale reconciliation</v>
      </c>
      <c r="B1" s="19"/>
      <c r="C1" s="21"/>
      <c r="D1" s="17"/>
      <c r="F1" s="18" t="str">
        <f>HYPERLINK("#Contents!A1","Go to contents")</f>
        <v>Go to contents</v>
      </c>
      <c r="H1" s="12"/>
      <c r="J1" s="12"/>
    </row>
    <row r="2" spans="1:19" s="16" customFormat="1" x14ac:dyDescent="0.2">
      <c r="A2" s="13"/>
      <c r="B2" s="13"/>
      <c r="C2" s="23"/>
      <c r="D2" s="22"/>
      <c r="E2" s="6" t="s">
        <v>14</v>
      </c>
      <c r="F2" s="15">
        <v>0</v>
      </c>
      <c r="G2" s="14" t="s">
        <v>15</v>
      </c>
      <c r="H2" s="6"/>
      <c r="I2" s="6"/>
      <c r="J2" s="2">
        <f xml:space="preserve"> Time!J$13</f>
        <v>44286</v>
      </c>
      <c r="K2" s="2">
        <f xml:space="preserve"> Time!K$13</f>
        <v>44651</v>
      </c>
      <c r="L2" s="2">
        <f xml:space="preserve"> Time!L$13</f>
        <v>45016</v>
      </c>
      <c r="M2" s="2">
        <f xml:space="preserve"> Time!M$13</f>
        <v>45382</v>
      </c>
      <c r="N2" s="2">
        <f xml:space="preserve"> Time!N$13</f>
        <v>45747</v>
      </c>
      <c r="O2" s="2">
        <f xml:space="preserve"> Time!O$13</f>
        <v>46112</v>
      </c>
      <c r="P2" s="2">
        <f xml:space="preserve"> Time!P$13</f>
        <v>46477</v>
      </c>
      <c r="Q2" s="2">
        <f xml:space="preserve"> Time!Q$13</f>
        <v>46843</v>
      </c>
      <c r="R2" s="2">
        <f xml:space="preserve"> Time!R$13</f>
        <v>47208</v>
      </c>
      <c r="S2" s="2">
        <f xml:space="preserve"> Time!S$13</f>
        <v>47573</v>
      </c>
    </row>
    <row r="3" spans="1:19" s="11" customFormat="1" x14ac:dyDescent="0.2">
      <c r="A3" s="13"/>
      <c r="B3" s="13"/>
      <c r="C3" s="23"/>
      <c r="D3" s="22"/>
      <c r="E3" s="9" t="s">
        <v>16</v>
      </c>
      <c r="F3" s="15"/>
      <c r="G3" s="14" t="s">
        <v>17</v>
      </c>
      <c r="H3" s="6"/>
      <c r="I3" s="6"/>
      <c r="J3" s="3" t="str">
        <f xml:space="preserve"> Time!J$18</f>
        <v>PR19</v>
      </c>
      <c r="K3" s="3" t="str">
        <f xml:space="preserve"> Time!K$18</f>
        <v>PR19</v>
      </c>
      <c r="L3" s="3" t="str">
        <f xml:space="preserve"> Time!L$18</f>
        <v>PR19</v>
      </c>
      <c r="M3" s="3" t="str">
        <f xml:space="preserve"> Time!M$18</f>
        <v>PR19</v>
      </c>
      <c r="N3" s="3" t="str">
        <f xml:space="preserve"> Time!N$18</f>
        <v>PR19</v>
      </c>
      <c r="O3" s="3" t="str">
        <f xml:space="preserve"> Time!O$18</f>
        <v>PR24</v>
      </c>
      <c r="P3" s="3" t="str">
        <f xml:space="preserve"> Time!P$18</f>
        <v>PR24</v>
      </c>
      <c r="Q3" s="3" t="str">
        <f xml:space="preserve"> Time!Q$18</f>
        <v>PR24</v>
      </c>
      <c r="R3" s="3" t="str">
        <f xml:space="preserve"> Time!R$18</f>
        <v>PR24</v>
      </c>
      <c r="S3" s="3" t="str">
        <f xml:space="preserve"> Time!S$18</f>
        <v>PR24</v>
      </c>
    </row>
    <row r="4" spans="1:19" s="10" customFormat="1" x14ac:dyDescent="0.2">
      <c r="A4" s="13"/>
      <c r="B4" s="13"/>
      <c r="C4" s="23"/>
      <c r="D4" s="22"/>
      <c r="E4" s="6" t="s">
        <v>18</v>
      </c>
      <c r="F4" s="7"/>
      <c r="G4" s="6"/>
      <c r="H4" s="6"/>
      <c r="I4" s="6"/>
      <c r="J4" s="10">
        <f xml:space="preserve"> Time!J$23</f>
        <v>1</v>
      </c>
      <c r="K4" s="10">
        <f xml:space="preserve"> Time!K$23</f>
        <v>2</v>
      </c>
      <c r="L4" s="10">
        <f xml:space="preserve"> Time!L$23</f>
        <v>3</v>
      </c>
      <c r="M4" s="10">
        <f xml:space="preserve"> Time!M$23</f>
        <v>4</v>
      </c>
      <c r="N4" s="10">
        <f xml:space="preserve"> Time!N$23</f>
        <v>5</v>
      </c>
      <c r="O4" s="10">
        <f xml:space="preserve"> Time!O$23</f>
        <v>6</v>
      </c>
      <c r="P4" s="10">
        <f xml:space="preserve"> Time!P$23</f>
        <v>7</v>
      </c>
      <c r="Q4" s="10">
        <f xml:space="preserve"> Time!Q$23</f>
        <v>8</v>
      </c>
      <c r="R4" s="10">
        <f xml:space="preserve"> Time!R$23</f>
        <v>9</v>
      </c>
      <c r="S4" s="10">
        <f xml:space="preserve"> Time!S$23</f>
        <v>10</v>
      </c>
    </row>
    <row r="5" spans="1:19" s="11" customFormat="1" x14ac:dyDescent="0.2">
      <c r="A5" s="13"/>
      <c r="B5" s="13"/>
      <c r="C5" s="23"/>
      <c r="D5" s="22"/>
      <c r="E5" s="6" t="s">
        <v>19</v>
      </c>
      <c r="F5" s="7" t="s">
        <v>20</v>
      </c>
      <c r="G5" s="7" t="s">
        <v>21</v>
      </c>
      <c r="H5" s="7" t="s">
        <v>22</v>
      </c>
      <c r="I5" s="6"/>
      <c r="J5" s="1">
        <f xml:space="preserve"> Time!J$27</f>
        <v>1</v>
      </c>
      <c r="K5" s="1">
        <f xml:space="preserve"> Time!K$27</f>
        <v>2</v>
      </c>
      <c r="L5" s="1">
        <f xml:space="preserve"> Time!L$27</f>
        <v>3</v>
      </c>
      <c r="M5" s="1">
        <f xml:space="preserve"> Time!M$27</f>
        <v>4</v>
      </c>
      <c r="N5" s="1">
        <f xml:space="preserve"> Time!N$27</f>
        <v>5</v>
      </c>
      <c r="O5" s="1">
        <f xml:space="preserve"> Time!O$27</f>
        <v>6</v>
      </c>
      <c r="P5" s="1">
        <f xml:space="preserve"> Time!P$27</f>
        <v>7</v>
      </c>
      <c r="Q5" s="1">
        <f xml:space="preserve"> Time!Q$27</f>
        <v>8</v>
      </c>
      <c r="R5" s="1">
        <f xml:space="preserve"> Time!R$27</f>
        <v>9</v>
      </c>
      <c r="S5" s="1">
        <f xml:space="preserve"> Time!S$27</f>
        <v>10</v>
      </c>
    </row>
    <row r="6" spans="1:19" s="9" customFormat="1" x14ac:dyDescent="0.2">
      <c r="A6" s="7"/>
      <c r="B6" s="7"/>
      <c r="C6" s="24"/>
      <c r="F6" s="7"/>
      <c r="G6" s="7"/>
      <c r="H6" s="7"/>
    </row>
    <row r="8" spans="1:19" x14ac:dyDescent="0.2">
      <c r="B8" s="69" t="s">
        <v>142</v>
      </c>
    </row>
    <row r="9" spans="1:19" x14ac:dyDescent="0.2">
      <c r="A9" s="71"/>
      <c r="B9" s="71"/>
      <c r="C9" s="71"/>
      <c r="D9" s="71"/>
      <c r="E9" s="88" t="str">
        <f xml:space="preserve">  InpS!E$43</f>
        <v>Pre-inflation post financeability adjustment PR19</v>
      </c>
      <c r="F9" s="88">
        <f xml:space="preserve">  InpS!F$43</f>
        <v>5.193618498618858</v>
      </c>
      <c r="G9" s="88" t="str">
        <f xml:space="preserve">  InpS!G$43</f>
        <v>£m</v>
      </c>
      <c r="M9" s="89"/>
    </row>
    <row r="10" spans="1:19" x14ac:dyDescent="0.2">
      <c r="A10" s="71"/>
      <c r="B10" s="71"/>
      <c r="C10" s="71"/>
      <c r="D10" s="71"/>
      <c r="E10" s="90" t="str">
        <f xml:space="preserve">  Wholesale!E$11</f>
        <v>CPIH factor</v>
      </c>
      <c r="F10" s="90">
        <f xml:space="preserve">  Wholesale!F$11</f>
        <v>1.1806332960179113</v>
      </c>
      <c r="G10" s="90" t="str">
        <f xml:space="preserve">  Wholesale!G$11</f>
        <v>factor</v>
      </c>
      <c r="M10" s="91"/>
    </row>
    <row r="11" spans="1:19" x14ac:dyDescent="0.2">
      <c r="E11" s="70" t="s">
        <v>142</v>
      </c>
      <c r="F11" s="89">
        <f xml:space="preserve">  $F9 * $F10</f>
        <v>6.1317589262839789</v>
      </c>
      <c r="G11" s="70" t="s">
        <v>29</v>
      </c>
      <c r="M11" s="89"/>
    </row>
    <row r="14" spans="1:19" x14ac:dyDescent="0.2">
      <c r="B14" s="69" t="s">
        <v>143</v>
      </c>
    </row>
    <row r="15" spans="1:19" x14ac:dyDescent="0.2">
      <c r="A15" s="71"/>
      <c r="B15" s="71"/>
      <c r="C15" s="71"/>
      <c r="D15" s="71"/>
      <c r="E15" s="88" t="str">
        <f xml:space="preserve">  InpS!E$44</f>
        <v>Post financeability adjustment PR24</v>
      </c>
      <c r="F15" s="88">
        <f xml:space="preserve">  InpS!F$44</f>
        <v>49.595034705001524</v>
      </c>
      <c r="G15" s="88" t="str">
        <f xml:space="preserve">  InpS!G$44</f>
        <v>£m</v>
      </c>
      <c r="M15" s="89"/>
    </row>
    <row r="16" spans="1:19" x14ac:dyDescent="0.2">
      <c r="E16" s="89" t="str">
        <f t="shared" ref="E16:G16" si="0" xml:space="preserve">  E$11</f>
        <v>Post financeability adjustment PR19</v>
      </c>
      <c r="F16" s="89">
        <f t="shared" si="0"/>
        <v>6.1317589262839789</v>
      </c>
      <c r="G16" s="89" t="str">
        <f t="shared" si="0"/>
        <v>£m</v>
      </c>
      <c r="M16" s="89"/>
    </row>
    <row r="17" spans="1:13" x14ac:dyDescent="0.2">
      <c r="A17" s="71"/>
      <c r="B17" s="71"/>
      <c r="C17" s="71"/>
      <c r="D17" s="71"/>
      <c r="E17" s="72" t="str">
        <f xml:space="preserve">  'Cost to serve'!E$17</f>
        <v>Total number of households PR24</v>
      </c>
      <c r="F17" s="72">
        <f xml:space="preserve">  'Cost to serve'!F$17</f>
        <v>2625.0623727053376</v>
      </c>
      <c r="G17" s="72" t="str">
        <f xml:space="preserve">  'Cost to serve'!G$17</f>
        <v>000 customers</v>
      </c>
      <c r="M17" s="73"/>
    </row>
    <row r="18" spans="1:13" x14ac:dyDescent="0.2">
      <c r="A18" s="71"/>
      <c r="B18" s="71"/>
      <c r="C18" s="71"/>
      <c r="D18" s="71"/>
      <c r="E18" s="72" t="str">
        <f xml:space="preserve">  InpS!E$92</f>
        <v>Units in a thousand</v>
      </c>
      <c r="F18" s="72">
        <f xml:space="preserve">  InpS!F$92</f>
        <v>1000</v>
      </c>
      <c r="G18" s="72" t="str">
        <f xml:space="preserve">  InpS!G$92</f>
        <v>units</v>
      </c>
      <c r="M18" s="73"/>
    </row>
    <row r="19" spans="1:13" x14ac:dyDescent="0.2">
      <c r="E19" s="70" t="s">
        <v>143</v>
      </c>
      <c r="F19" s="89">
        <f xml:space="preserve">  ( $F15 - $F16 ) / $F17 * $F18</f>
        <v>16.557044979439919</v>
      </c>
      <c r="G19" s="70" t="s">
        <v>50</v>
      </c>
      <c r="M19" s="89"/>
    </row>
    <row r="22" spans="1:13" x14ac:dyDescent="0.2">
      <c r="B22" s="69" t="s">
        <v>144</v>
      </c>
    </row>
    <row r="23" spans="1:13" x14ac:dyDescent="0.2">
      <c r="E23" s="89" t="str">
        <f t="shared" ref="E23:G23" si="1" xml:space="preserve">  E$19</f>
        <v>Pre-adjustment wholesale reconciliation</v>
      </c>
      <c r="F23" s="89">
        <f t="shared" si="1"/>
        <v>16.557044979439919</v>
      </c>
      <c r="G23" s="89" t="str">
        <f t="shared" si="1"/>
        <v>£ / customer</v>
      </c>
      <c r="M23" s="89"/>
    </row>
    <row r="24" spans="1:13" x14ac:dyDescent="0.2">
      <c r="A24" s="71"/>
      <c r="B24" s="71"/>
      <c r="C24" s="71"/>
      <c r="D24" s="71"/>
      <c r="E24" s="90" t="str">
        <f xml:space="preserve">  Wholesale!E$44</f>
        <v>Adjustment factor</v>
      </c>
      <c r="F24" s="90">
        <f xml:space="preserve">  Wholesale!F$44</f>
        <v>0.83356606407476985</v>
      </c>
      <c r="G24" s="90" t="str">
        <f xml:space="preserve">  Wholesale!G$44</f>
        <v>factor</v>
      </c>
      <c r="M24" s="91"/>
    </row>
    <row r="25" spans="1:13" x14ac:dyDescent="0.2">
      <c r="A25" s="75"/>
      <c r="B25" s="75"/>
      <c r="C25" s="75"/>
      <c r="D25" s="75"/>
      <c r="E25" s="75" t="s">
        <v>144</v>
      </c>
      <c r="F25" s="94">
        <f xml:space="preserve">  $F23 * $F24</f>
        <v>13.801390816220662</v>
      </c>
      <c r="G25" s="75" t="s">
        <v>50</v>
      </c>
      <c r="M25" s="89"/>
    </row>
    <row r="28" spans="1:13" x14ac:dyDescent="0.2">
      <c r="B28" s="70" t="s">
        <v>98</v>
      </c>
    </row>
  </sheetData>
  <conditionalFormatting sqref="F2">
    <cfRule type="cellIs" dxfId="47" priority="3" stopIfTrue="1" operator="equal">
      <formula>""</formula>
    </cfRule>
  </conditionalFormatting>
  <conditionalFormatting sqref="F2:F3">
    <cfRule type="cellIs" dxfId="46" priority="1" stopIfTrue="1" operator="notEqual">
      <formula>0</formula>
    </cfRule>
  </conditionalFormatting>
  <conditionalFormatting sqref="J3:S3">
    <cfRule type="cellIs" dxfId="45" priority="9" operator="equal">
      <formula>"PPA ext."</formula>
    </cfRule>
    <cfRule type="cellIs" dxfId="44" priority="10" operator="equal">
      <formula>"Delay"</formula>
    </cfRule>
    <cfRule type="cellIs" dxfId="43" priority="11" operator="equal">
      <formula>"Fin Close"</formula>
    </cfRule>
    <cfRule type="cellIs" dxfId="42" priority="12" stopIfTrue="1" operator="equal">
      <formula>"Construction"</formula>
    </cfRule>
    <cfRule type="cellIs" dxfId="41" priority="13" stopIfTrue="1" operator="equal">
      <formula>"Operations"</formula>
    </cfRule>
  </conditionalFormatting>
  <pageMargins left="0.70866141732283472" right="0.70866141732283472" top="0.74803149606299213" bottom="0.74803149606299213" header="0.31496062992125984" footer="0.31496062992125984"/>
  <pageSetup paperSize="9" scale="50" orientation="portrait"/>
  <headerFooter>
    <oddHeader>&amp;L&amp;"-,Regular"&amp;9&amp;K63656APage &amp;P of &amp;N&amp;C&amp;"-,Regular"&amp;9&amp;K63656A&amp;F&amp;R&amp;G</oddHeader>
    <oddFooter>&amp;LSheet: &amp;A&amp;RPrinted on &amp;D at &amp;T</oddFooter>
  </headerFooter>
  <customProperties>
    <customPr name="MMGroup" r:id="rId1"/>
    <customPr name="MMSheetType" r:id="rId2"/>
    <customPr name="MMTimeAxis" r:id="rId3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2e9523b9-9c37-4c05-b1eb-7b6f416249bb">
      <Terms xmlns="http://schemas.microsoft.com/office/infopath/2007/PartnerControls"/>
    </lcf76f155ced4ddcb4097134ff3c332f>
    <_ip_UnifiedCompliancePolicyProperties xmlns="http://schemas.microsoft.com/sharepoint/v3" xsi:nil="true"/>
    <Batch xmlns="2e9523b9-9c37-4c05-b1eb-7b6f416249bb" xsi:nil="true"/>
    <TEST xmlns="2e9523b9-9c37-4c05-b1eb-7b6f416249bb" xsi:nil="true"/>
    <TaxCatchAll xmlns="75e05205-f2e1-4168-9176-3cea1311c63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CA1FEDC0F04146B2629EDF721CF670" ma:contentTypeVersion="22" ma:contentTypeDescription="Create a new document." ma:contentTypeScope="" ma:versionID="1407fb57b5b59b6ad13ed8cc6bab6965">
  <xsd:schema xmlns:xsd="http://www.w3.org/2001/XMLSchema" xmlns:xs="http://www.w3.org/2001/XMLSchema" xmlns:p="http://schemas.microsoft.com/office/2006/metadata/properties" xmlns:ns1="http://schemas.microsoft.com/sharepoint/v3" xmlns:ns2="2e9523b9-9c37-4c05-b1eb-7b6f416249bb" xmlns:ns3="05c3d349-d7b5-4b99-a759-edf8a89fca83" xmlns:ns4="75e05205-f2e1-4168-9176-3cea1311c638" targetNamespace="http://schemas.microsoft.com/office/2006/metadata/properties" ma:root="true" ma:fieldsID="30b8069066f12f42f09ca0cde2d08829" ns1:_="" ns2:_="" ns3:_="" ns4:_="">
    <xsd:import namespace="http://schemas.microsoft.com/sharepoint/v3"/>
    <xsd:import namespace="2e9523b9-9c37-4c05-b1eb-7b6f416249bb"/>
    <xsd:import namespace="05c3d349-d7b5-4b99-a759-edf8a89fca83"/>
    <xsd:import namespace="75e05205-f2e1-4168-9176-3cea1311c6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TEST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Batch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9523b9-9c37-4c05-b1eb-7b6f416249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TEST" ma:index="19" nillable="true" ma:displayName="TEST" ma:format="Dropdown" ma:internalName="TEST">
      <xsd:simpleType>
        <xsd:restriction base="dms:Text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10b0734-55aa-48eb-9cc1-796817ec1e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  <xsd:element name="Batch" ma:index="27" nillable="true" ma:displayName="Batch" ma:description="name of adhoc portfolio used to generate the report" ma:format="Dropdown" ma:internalName="Batch">
      <xsd:simpleType>
        <xsd:restriction base="dms:Text">
          <xsd:maxLength value="255"/>
        </xsd:restriction>
      </xsd:simple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c3d349-d7b5-4b99-a759-edf8a89fca8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05205-f2e1-4168-9176-3cea1311c638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eebdce34-1607-4299-9c29-45a1573d8ca5}" ma:internalName="TaxCatchAll" ma:showField="CatchAllData" ma:web="05c3d349-d7b5-4b99-a759-edf8a89fca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ModelMaker>
<![CDATA[{
  "$id": "1",
  "$type": "ModelMaker.Models.Project, ModelMaker",
  "CanShowCompletionItems": true,
  "HistoricResults": null,
  "HasMultipleTimelines": false,
  "Dimensions": {
    "$type": "ModelMakerEngine.MMDimensions, ModelMakerEngine",
    "$values": []
  },
  "HasDimensions": false,
  "DefaultUnit": {
    "$id": "2",
    "$type": "ModelMaker.Unit, ModelMaker",
    "NumberFormatOverride": null,
    "MatchAnything": false,
    "ExternalRepresentation": "",
    "ItemsOnTop": {
      "$type": "System.Collections.Generic.List`1[[System.String, mscorlib]], mscorlib",
      "$values": []
    },
    "ItemsOnBottom": {
      "$type": "System.Collections.Generic.List`1[[System.String, mscorlib]], mscorlib",
      "$values": []
    },
    "IsCurrency": false,
    "ContainsSMU": false,
    "IsDimensionless": false,
    "InsertRowTotal": true,
    "IgnoreWhenDeterminingExpectedUnits": false
  },
  "FileVersion": 2,
  "FilePath": "C:\\Users\\jenny.ngai\\OneDrive - OFWAT\\OFWAT work\\PR24 FM work\\Bill waterfall\\Bill Waterfall v2n.obz",
  "Nodes": {
    "$type": "ModelMaker.Models.ProjectItemSet`1[[ModelMakerEngine.INode, ModelMakerEngine]], ModelMaker",
    "$values": [
      {
        "$id": "3",
        "$type": "ModelMaker.GroupNode, ModelMaker",
        "TabOrHeaderColour": "",
        "Comment": "",
        "NameOfGroup": null,
        "YPosition": 0,
        "Folded": false,
        "Font": null,
        "Children": {
          "$type": "ModelMaker.GroupNodeChildCollection, ModelMaker",
          "$values": []
        },
        "AllowAddChildren": true,
        "AllowRemoveChildren": true,
        "IsImported": false,
        "IsChecksGroup": false,
        "IsAlertsGroup": false,
        "IsChecksAndAlertsGroup": false,
        "IsUnallocatedGroup": true,
        "IsInputsGroup": false,
        "IsFlag": false,
        "IsTimeAndFlagsGroup": false,
        "DimensionsAcross": {
          "$type": "ModelMakerEngine.MMDimensions, ModelMakerEngine",
          "$values": []
        },
        "TimeAxis": 0,
        "IndexInParent": 0,
        "Name": "Unallocated",
        "Parent": {
          "$ref": "1"
        },
        "Visible": true,
        "ToolTip": "",
        "OpeningBalanceFlagAppliedName": "",
        "AllowIncomingLinks": false,
        "AllowOutgoingLinks": fals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false,
        "Issues": null
      },
      {
        "$id": "4",
        "$type": "ModelMaker.GroupNode, ModelMaker",
        "TabOrHeaderColour": "",
        "Comment": "",
        "NameOfGroup": null,
        "YPosition": 0,
        "Folded": false,
        "Font": null,
        "Children": {
          "$type": "ModelMaker.GroupNodeChildCollection, ModelMaker",
          "$values": [
            {
              "$id": "5",
              "$type": "ModelMaker.VariableNode, ModelMaker",
              "RowTotalDependent": null,
              "PutCalculationOnReport": false,
              "CalculateOnThisReport": null,
              "PivotTableLink": null,
              "ExcelNameName": "Start_date",
              "ExcelNameNames": {
                "$type": "ModelMakerEngine.ExcelNameDictionary, ModelMakerEngine",
                "$values": []
              },
              "NumberFormatOverride": null,
              "HasOpeningBalanceFlag": false,
              "OpeningBalanceFlagAppliedName": "",
              "Deletable": false,
              "Comment": "",
              "HasSwitchSignLine": false,
              "SwitchSignForReport": false,
              "MultipleInputValues": null,
              "NonPrimaryInput": false,
              "Max": "NaN",
              "Min": "NaN",
              "IsBalanceButNotCorkscrew": false,
              "IsEditable": true,
              "IsConstant": true,
              "UniqueID": "dab25365-37d0-4e18-af4f-63977417cd7b",
              "Dimensions": {
                "$type": "ModelMakerEngine.MMDimensions, ModelMakerEngine",
                "$values": []
              },
              "EquationOBXInternal": "43922",
              "NameOfGroup": "Inputs",
              "EquationToParse": "43922",
              "MostRecentExpectedUnitErrors": null,
              "Units": {
                "$id": "6",
                "$type": "ModelMaker.Unit, ModelMaker",
                "NumberFormatOverride": null,
                "MatchAnything": false,
                "ExternalRepresentation": "date",
                "ItemsOnTop": {
                  "$type": "System.Collections.Generic.List`1[[System.String, mscorlib]], mscorlib",
                  "$values": [
                    "DATE"
                  ]
                },
                "ItemsOnBottom": {
                  "$type": "System.Collections.Generic.List`1[[System.String, mscorlib]], mscorlib",
                  "$values": []
                },
                "IsCurrency": false,
                "ContainsSMU": false,
                "IsDimensionless": false,
                "InsertRowTotal": true,
                "IgnoreWhenDeterminingExpectedUnits": false
              },
              "Name": "Start date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true,
              "UnitsErrorMessage": "",
              "IgnoreUnitIssues": false,
              "IsPlaceholder": false,
              "StandardName": 7,
              "IsStandardNode": true,
              "WarnMessage": null,
              "StandardDescription": null,
              "HasStandardDescription": false,
              "HasStandardName": true,
              "OptimisationNodePair": null,
              "IsOptimisationNode": false,
              "Actuals": null,
              "UDFCode": null,
              "AssociatedOptimisationNodes": null,
              "CustomNamedRange": null,
              "IsRowTotal": false,
              "YPosition": 0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id": "7",
              "$type": "ModelMaker.VariableNode, ModelMaker",
              "RowTotalDependent": null,
              "PutCalculationOnReport": false,
              "CalculateOnThisReport": null,
              "PivotTableLink": null,
              "ExcelNameName": "Financial_year_end_month",
              "ExcelNameNames": {
                "$type": "ModelMakerEngine.ExcelNameDictionary, ModelMakerEngine",
                "$values": []
              },
              "NumberFormatOverride": null,
              "HasOpeningBalanceFlag": false,
              "OpeningBalanceFlagAppliedName": "",
              "Deletable": false,
              "Comment": "",
              "HasSwitchSignLine": false,
              "SwitchSignForReport": false,
              "MultipleInputValues": null,
              "NonPrimaryInput": false,
              "Max": "NaN",
              "Min": "NaN",
              "IsBalanceButNotCorkscrew": false,
              "IsEditable": true,
              "IsConstant": true,
              "UniqueID": "3bfedef2-e27c-4387-9cbb-7b679b74a5f8",
              "Dimensions": {
                "$type": "ModelMakerEngine.MMDimensions, ModelMakerEngine",
                "$values": []
              },
              "EquationOBXInternal": "3",
              "NameOfGroup": "Inputs",
              "EquationToParse": "3",
              "MostRecentExpectedUnitErrors": null,
              "Units": {
                "$ref": "2"
              },
              "Name": "Financial year end month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false,
              "UnitsValid": true,
              "UnitsErrorMessage": "",
              "IgnoreUnitIssues": false,
              "IsPlaceholder": false,
              "StandardName": 6,
              "IsStandardNode": true,
              "WarnMessage": null,
              "StandardDescription": null,
              "HasStandardDescription": false,
              "HasStandardName": true,
              "OptimisationNodePair": null,
              "IsOptimisationNode": false,
              "Actuals": null,
              "UDFCode": null,
              "AssociatedOptimisationNodes": null,
              "CustomNamedRange": null,
              "IsRowTotal": false,
              "YPosition": 1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id": "8",
              "$type": "ModelMaker.GroupNode, ModelMaker",
              "TabOrHeaderColour": "",
              "Comment": "",
              "NameOfGroup": "Inputs",
              "YPosition": 2,
              "Folded": false,
              "Font": null,
              "Children": {
                "$type": "ModelMaker.GroupNodeChildCollection, ModelMaker",
                "$values": [
                  {
                    "$id": "9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Pre_inflation_average_totex_PR19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490825a6-8b75-4b6e-b233-cee9f52e6593",
                    "Dimensions": {
                      "$type": "ModelMakerEngine.MMDimensions, ModelMakerEngine",
                      "$values": []
                    },
                    "EquationOBXInternal": "7308.363",
                    "NameOfGroup": "Inputs.Totex",
                    "EquationToParse": "7308.363",
                    "MostRecentExpectedUnitErrors": null,
                    "Units": {
                      "$id": "10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Pre-inflation average totex PR19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0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11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Average_totex_PR24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70b2423b-2c3f-48e3-935e-af71ad175d3b",
                    "Dimensions": {
                      "$type": "ModelMakerEngine.MMDimensions, ModelMakerEngine",
                      "$values": []
                    },
                    "EquationOBXInternal": "8427.348",
                    "NameOfGroup": "Inputs.Totex",
                    "EquationToParse": "8427.348",
                    "MostRecentExpectedUnitErrors": null,
                    "Units": {
                      "$id": "12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Average totex PR24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1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13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Pre_inflation_average_PAYG_PR19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ad6577fb-7551-4efc-a7f0-9321d07a026d",
                    "Dimensions": {
                      "$type": "ModelMakerEngine.MMDimensions, ModelMakerEngine",
                      "$values": []
                    },
                    "EquationOBXInternal": "4122.149",
                    "NameOfGroup": "Inputs.Totex",
                    "EquationToParse": "4122.149",
                    "MostRecentExpectedUnitErrors": null,
                    "Units": {
                      "$id": "14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Pre-inflation average PAYG PR19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2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15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Average_PAYG_PR24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2617e037-abfe-40a3-ae09-20ade89c0d4c",
                    "Dimensions": {
                      "$type": "ModelMakerEngine.MMDimensions, ModelMakerEngine",
                      "$values": []
                    },
                    "EquationOBXInternal": "4473.583",
                    "NameOfGroup": "Inputs.Totex",
                    "EquationToParse": "4473.583",
                    "MostRecentExpectedUnitErrors": null,
                    "Units": {
                      "$id": "16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Average PAYG PR24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3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17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Pre_inflation_average_profiled_allowed_revenue_PR19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1842d23e-080f-4af8-9c19-3f194c2ca86b",
                    "Dimensions": {
                      "$type": "ModelMakerEngine.MMDimensions, ModelMakerEngine",
                      "$values": []
                    },
                    "EquationOBXInternal": "8980.862",
                    "NameOfGroup": "Inputs.Totex",
                    "EquationToParse": "8980.862",
                    "MostRecentExpectedUnitErrors": null,
                    "Units": {
                      "$id": "18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Pre-inflation average profiled allowed revenue PR19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4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19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Average_profiled_allowed_revenue_PR24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0356920e-3d4a-4857-b8f5-e2244bc7bcc4",
                    "Dimensions": {
                      "$type": "ModelMakerEngine.MMDimensions, ModelMakerEngine",
                      "$values": []
                    },
                    "EquationOBXInternal": "9705.206",
                    "NameOfGroup": "Inputs.Totex",
                    "EquationToParse": "9705.206",
                    "MostRecentExpectedUnitErrors": null,
                    "Units": {
                      "$id": "20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Average profiled allowed revenue PR24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5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
                ]
              },
              "AllowAddChildren": true,
              "AllowRemoveChildren": true,
              "IsImported": false,
              "IsChecksGroup": false,
              "IsAlertsGroup": false,
              "IsChecksAndAlertsGroup": false,
              "IsUnallocatedGroup": false,
              "IsInputsGroup": false,
              "IsFlag": false,
              "IsTimeAndFlagsGroup": false,
              "DimensionsAcross": {
                "$type": "ModelMakerEngine.MMDimensions, ModelMakerEngine",
                "$values": []
              },
              "TimeAxis": 0,
              "IndexInParent": -1,
              "Name": "Totex",
              "Parent": {
                "$ref": "1"
              },
              "Visible": true,
              "ToolTip": "",
              "OpeningBalanceFlagAppliedName": "",
              "AllowIncomingLinks": false,
              "AllowOutgoingLinks": fals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Deletable": true,
              "Issues": null
            },
            {
              "$id": "21",
              "$type": "ModelMaker.GroupNode, ModelMaker",
              "TabOrHeaderColour": "",
              "Comment": "",
              "NameOfGroup": "Inputs",
              "YPosition": 3,
              "Folded": false,
              "Font": null,
              "Children": {
                "$type": "ModelMaker.GroupNodeChildCollection, ModelMaker",
                "$values": [
                  {
                    "$id": "22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Pre_inflation_run_off_PR19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8be85c81-4776-4c53-ad2d-ac18f9e339e4",
                    "Dimensions": {
                      "$type": "ModelMakerEngine.MMDimensions, ModelMakerEngine",
                      "$values": []
                    },
                    "EquationOBXInternal": "2526.603",
                    "NameOfGroup": "Inputs.RCV",
                    "EquationToParse": "2526.603",
                    "MostRecentExpectedUnitErrors": null,
                    "Units": {
                      "$id": "23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Pre-inflation run off PR19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0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24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Run_off_PR24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aeb85a12-639b-48ab-b82f-983b3e55eb08",
                    "Dimensions": {
                      "$type": "ModelMakerEngine.MMDimensions, ModelMakerEngine",
                      "$values": []
                    },
                    "EquationOBXInternal": "3465.608",
                    "NameOfGroup": "Inputs.RCV",
                    "EquationToParse": "3465.608",
                    "MostRecentExpectedUnitErrors": null,
                    "Units": {
                      "$id": "25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Run off PR24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1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26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Pre_inflation_average_RCV_PR19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f34ebfc7-f18b-45f4-9eaa-59b0708319aa",
                    "Dimensions": {
                      "$type": "ModelMakerEngine.MMDimensions, ModelMakerEngine",
                      "$values": []
                    },
                    "EquationOBXInternal": "61085.778",
                    "NameOfGroup": "Inputs.RCV",
                    "EquationToParse": "61085.778",
                    "MostRecentExpectedUnitErrors": null,
                    "Units": {
                      "$id": "27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Pre-inflation average RCV PR19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2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28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Average_RCV_PR24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0829dc53-17eb-48f0-8449-9d132ab6c45f",
                    "Dimensions": {
                      "$type": "ModelMakerEngine.MMDimensions, ModelMakerEngine",
                      "$values": []
                    },
                    "EquationOBXInternal": "84151.4",
                    "NameOfGroup": "Inputs.RCV",
                    "EquationToParse": "84151.4",
                    "MostRecentExpectedUnitErrors": null,
                    "Units": {
                      "$id": "29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Average RCV PR24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3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
                ]
              },
              "AllowAddChildren": true,
              "AllowRemoveChildren": true,
              "IsImported": false,
              "IsChecksGroup": false,
              "IsAlertsGroup": false,
              "IsChecksAndAlertsGroup": false,
              "IsUnallocatedGroup": false,
              "IsInputsGroup": false,
              "IsFlag": false,
              "IsTimeAndFlagsGroup": false,
              "DimensionsAcross": {
                "$type": "ModelMakerEngine.MMDimensions, ModelMakerEngine",
                "$values": []
              },
              "TimeAxis": 0,
              "IndexInParent": -1,
              "Name": "RCV",
              "Parent": {
                "$ref": "1"
              },
              "Visible": true,
              "ToolTip": "",
              "OpeningBalanceFlagAppliedName": "",
              "AllowIncomingLinks": false,
              "AllowOutgoingLinks": fals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Deletable": true,
              "Issues": null
            },
            {
              "$id": "30",
              "$type": "ModelMaker.GroupNode, ModelMaker",
              "TabOrHeaderColour": "",
              "Comment": "",
              "NameOfGroup": "Inputs",
              "YPosition": 4,
              "Folded": false,
              "Font": null,
              "Children": {
                "$type": "ModelMaker.GroupNodeChildCollection, ModelMaker",
                "$values": [
                  {
                    "$id": "31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CPIH_2017_18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4ab25a49-5ff4-4ff7-8f1c-b7a97f63d64b",
                    "Dimensions": {
                      "$type": "ModelMakerEngine.MMDimensions, ModelMakerEngine",
                      "$values": []
                    },
                    "EquationOBXInternal": "1.0509",
                    "NameOfGroup": "Inputs",
                    "EquationToParse": "1.0509",
                    "MostRecentExpectedUnitErrors": null,
                    "Units": {
                      "$id": "32",
                      "$type": "ModelMaker.Unit, ModelMaker",
                      "NumberFormatOverride": null,
                      "MatchAnything": false,
                      "ExternalRepresentation": "index",
                      "ItemsOnTop": {
                        "$type": "System.Collections.Generic.List`1[[System.String, mscorlib]], mscorlib",
                        "$values": []
                      },
                      "ItemsOnBottom": {
                        "$type": "System.Collections.Generic.List`1[[System.String, mscorlib]], mscorlib",
                        "$values": []
                      },
                      "IsCurrency": false,
                      "ContainsSMU": false,
                      "IsDimensionless": false,
                      "InsertRowTotal": true,
                      "IgnoreWhenDeterminingExpectedUnits": false
                    },
                    "Name": "CPIH 2017-18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0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33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CPIH_2022_23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d7354781-7526-4316-9109-24da2816ce8f",
                    "Dimensions": {
                      "$type": "ModelMakerEngine.MMDimensions, ModelMakerEngine",
                      "$values": []
                    },
                    "EquationOBXInternal": "1.2103",
                    "NameOfGroup": "Inputs",
                    "EquationToParse": "1.2103",
                    "MostRecentExpectedUnitErrors": null,
                    "Units": {
                      "$id": "34",
                      "$type": "ModelMaker.Unit, ModelMaker",
                      "NumberFormatOverride": null,
                      "MatchAnything": false,
                      "ExternalRepresentation": "index",
                      "ItemsOnTop": {
                        "$type": "System.Collections.Generic.List`1[[System.String, mscorlib]], mscorlib",
                        "$values": []
                      },
                      "ItemsOnBottom": {
                        "$type": "System.Collections.Generic.List`1[[System.String, mscorlib]], mscorlib",
                        "$values": []
                      },
                      "IsCurrency": false,
                      "ContainsSMU": false,
                      "IsDimensionless": false,
                      "InsertRowTotal": true,
                      "IgnoreWhenDeterminingExpectedUnits": false
                    },
                    "Name": "CPIH 2022-23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1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35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Total_wholesale_revenues_PR24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0b299e53-374f-4cc6-a9fd-7816cb8b4f02",
                    "Dimensions": {
                      "$type": "ModelMakerEngine.MMDimensions, ModelMakerEngine",
                      "$values": []
                    },
                    "EquationOBXInternal": "9619.518",
                    "NameOfGroup": "Inputs",
                    "EquationToParse": "9619.518",
                    "MostRecentExpectedUnitErrors": null,
                    "Units": {
                      "$id": "36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Total wholesale revenues PR24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2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37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Pre_inflation_final_profiled_allowed_revenues_PR19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04c4ea24-816e-4441-8e69-981d4b0beed2",
                    "Dimensions": {
                      "$type": "ModelMakerEngine.MMDimensions, ModelMakerEngine",
                      "$values": []
                    },
                    "EquationOBXInternal": "9027.363",
                    "NameOfGroup": "Inputs",
                    "EquationToParse": "9027.363",
                    "MostRecentExpectedUnitErrors": null,
                    "Units": {
                      "$id": "38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Pre-inflation final profiled allowed revenues PR19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3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39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Final_profiled_allowed_revenues_PR24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0345fcaa-faac-42d2-ab11-460f3554d088",
                    "Dimensions": {
                      "$type": "ModelMakerEngine.MMDimensions, ModelMakerEngine",
                      "$values": []
                    },
                    "EquationOBXInternal": "9619.518",
                    "NameOfGroup": "Inputs",
                    "EquationToParse": "9619.518",
                    "MostRecentExpectedUnitErrors": null,
                    "Units": {
                      "$id": "40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Final profiled allowed revenues PR24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4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41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Pre_inflation_final_return_on_capital_PR19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c6139e18-7872-4bc7-9b51-8a03e447736a",
                    "Dimensions": {
                      "$type": "ModelMakerEngine.MMDimensions, ModelMakerEngine",
                      "$values": []
                    },
                    "EquationOBXInternal": "2201.94",
                    "NameOfGroup": "Inputs",
                    "EquationToParse": "2201.94",
                    "MostRecentExpectedUnitErrors": null,
                    "Units": {
                      "$id": "42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Pre-inflation final return on capital PR19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5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43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Final_return_on_capital_PR24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2183b4e3-0cad-484b-bebe-a7387cd25b05",
                    "Dimensions": {
                      "$type": "ModelMakerEngine.MMDimensions, ModelMakerEngine",
                      "$values": []
                    },
                    "EquationOBXInternal": "1840.269",
                    "NameOfGroup": "Inputs",
                    "EquationToParse": "1840.269",
                    "MostRecentExpectedUnitErrors": null,
                    "Units": {
                      "$id": "44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Final return on capital PR24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6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45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Combined_average_bills_PR19__2022_23_prices_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
                        {
                          "$id": "46",
                          "$type": "ModelMaker.DimensionedArrayValues, ModelMaker",
                          "Elements": {
                            "$type": "ModelMakerEngine.MMElements, ModelMakerEngine",
                            "$values": []
                          },
                          "Values": {
                            "$type": "System.Collections.Generic.List`1[[System.Object, mscorlib]], mscorlib",
                            "$values": [
                              405.0,
                              null,
                              null,
                              null,
                              null,
                              null,
                              null,
                              null
                            ]
                          }
                        }
                      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6c854c4d-3698-4e8b-9e6a-c745d04af0a2",
                    "Dimensions": {
                      "$type": "ModelMakerEngine.MMDimensions, ModelMakerEngine",
                      "$values": []
                    },
                    "EquationOBXInternal": "{405,,,,,,,}",
                    "NameOfGroup": "Inputs",
                    "EquationToParse": "{405,,,,,,,}",
                    "MostRecentExpectedUnitErrors": null,
                    "Units": {
                      "$id": "47",
                      "$type": "ModelMaker.Unit, ModelMaker",
                      "NumberFormatOverride": null,
                      "MatchAnything": false,
                      "ExternalRepresentation": "£ / customer",
                      "ItemsOnTop": {
                        "$type": "System.Collections.Generic.List`1[[System.String, mscorlib]], mscorlib",
                        "$values": [
                          "£"
                        ]
                      },
                      "ItemsOnBottom": {
                        "$type": "System.Collections.Generic.List`1[[System.String, mscorlib]], mscorlib",
                        "$values": [
                          "CUSTOMER"
                        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Combined average bills PR19 (2022-23 prices)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7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48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Combined_average_bills_PR24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
                        {
                          "$id": "49",
                          "$type": "ModelMaker.DimensionedArrayValues, ModelMaker",
                          "Elements": {
                            "$type": "ModelMakerEngine.MMElements, ModelMakerEngine",
                            "$values": []
                          },
                          "Values": {
                            "$type": "System.Collections.Generic.List`1[[System.Object, mscorlib]], mscorlib",
                            "$values": [
                              357.0,
                              null,
                              null,
                              null,
                              null,
                              null,
                              null,
                              null
                            ]
                          }
                        }
                      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aea62cc8-52ac-4a8f-a139-44ed5475348c",
                    "Dimensions": {
                      "$type": "ModelMakerEngine.MMDimensions, ModelMakerEngine",
                      "$values": []
                    },
                    "EquationOBXInternal": "{357,,,,,,,}",
                    "NameOfGroup": "Inputs",
                    "EquationToParse": "{357,,,,,,,}",
                    "MostRecentExpectedUnitErrors": null,
                    "Units": {
                      "$id": "50",
                      "$type": "ModelMaker.Unit, ModelMaker",
                      "NumberFormatOverride": null,
                      "MatchAnything": false,
                      "ExternalRepresentation": "£ / customer",
                      "ItemsOnTop": {
                        "$type": "System.Collections.Generic.List`1[[System.String, mscorlib]], mscorlib",
                        "$values": [
                          "£"
                        ]
                      },
                      "ItemsOnBottom": {
                        "$type": "System.Collections.Generic.List`1[[System.String, mscorlib]], mscorlib",
                        "$values": [
                          "CUSTOMER"
                        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Combined average bills PR24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8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
                ]
              },
              "AllowAddChildren": true,
              "AllowRemoveChildren": true,
              "IsImported": false,
              "IsChecksGroup": false,
              "IsAlertsGroup": false,
              "IsChecksAndAlertsGroup": false,
              "IsUnallocatedGroup": false,
              "IsInputsGroup": false,
              "IsFlag": false,
              "IsTimeAndFlagsGroup": false,
              "DimensionsAcross": {
                "$type": "ModelMakerEngine.MMDimensions, ModelMakerEngine",
                "$values": []
              },
              "TimeAxis": 0,
              "IndexInParent": -1,
              "Name": "Wholesale",
              "Parent": {
                "$ref": "1"
              },
              "Visible": true,
              "ToolTip": "",
              "OpeningBalanceFlagAppliedName": "",
              "AllowIncomingLinks": false,
              "AllowOutgoingLinks": fals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Deletable": true,
              "Issues": null
            },
            {
              "$id": "51",
              "$type": "ModelMaker.GroupNode, ModelMaker",
              "TabOrHeaderColour": "",
              "Comment": "",
              "NameOfGroup": "Inputs",
              "YPosition": 5,
              "Folded": false,
              "Font": null,
              "Children": {
                "$type": "ModelMaker.GroupNodeChildCollection, ModelMaker",
                "$values": [
                  {
                    "$id": "52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Pre_inflation_post_financeability_adjustment_PR19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fc63a58e-ca20-4d17-a74e-f286588e3408",
                    "Dimensions": {
                      "$type": "ModelMakerEngine.MMDimensions, ModelMakerEngine",
                      "$values": []
                    },
                    "EquationOBXInternal": "39.311",
                    "NameOfGroup": "Inputs",
                    "EquationToParse": "39.311",
                    "MostRecentExpectedUnitErrors": null,
                    "Units": {
                      "$id": "53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Pre-inflation post financeability adjustment PR19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0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54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Post_financeability_adjustment_PR24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c9890de0-eaf2-49dd-8545-1897168b25a8",
                    "Dimensions": {
                      "$type": "ModelMakerEngine.MMDimensions, ModelMakerEngine",
                      "$values": []
                    },
                    "EquationOBXInternal": "65.965",
                    "NameOfGroup": "Inputs",
                    "EquationToParse": "65.965",
                    "MostRecentExpectedUnitErrors": null,
                    "Units": {
                      "$id": "55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Post financeability adjustment PR24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1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
                ]
              },
              "AllowAddChildren": true,
              "AllowRemoveChildren": true,
              "IsImported": false,
              "IsChecksGroup": false,
              "IsAlertsGroup": false,
              "IsChecksAndAlertsGroup": false,
              "IsUnallocatedGroup": false,
              "IsInputsGroup": false,
              "IsFlag": false,
              "IsTimeAndFlagsGroup": false,
              "DimensionsAcross": {
                "$type": "ModelMakerEngine.MMDimensions, ModelMakerEngine",
                "$values": []
              },
              "TimeAxis": 0,
              "IndexInParent": -1,
              "Name": "Wholesale reconciliation",
              "Parent": {
                "$ref": "1"
              },
              "Visible": true,
              "ToolTip": "",
              "OpeningBalanceFlagAppliedName": "",
              "AllowIncomingLinks": false,
              "AllowOutgoingLinks": fals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Deletable": true,
              "Issues": null
            },
            {
              "$id": "56",
              "$type": "ModelMaker.GroupNode, ModelMaker",
              "TabOrHeaderColour": "",
              "Comment": "",
              "NameOfGroup": "Inputs",
              "YPosition": 6,
              "Folded": false,
              "Font": null,
              "Children": {
                "$type": "ModelMaker.GroupNodeChildCollection, ModelMaker",
                "$values": [
                  {
                    "$id": "57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Pre_inflation_pension_deficit_repair_allowance_PR19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39d04841-7a6a-41b1-be77-e1d378d6dda3",
                    "Dimensions": {
                      "$type": "ModelMakerEngine.MMDimensions, ModelMakerEngine",
                      "$values": []
                    },
                    "EquationOBXInternal": "97.31",
                    "NameOfGroup": "Inputs",
                    "EquationToParse": "97.31",
                    "MostRecentExpectedUnitErrors": null,
                    "Units": {
                      "$id": "58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Pre-inflation pension deficit repair allowance PR19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0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59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Pension_deficit_repair_allowance_PR24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eb1e2cc1-b194-4e91-b04e-9d82b667c9a6",
                    "Dimensions": {
                      "$type": "ModelMakerEngine.MMDimensions, ModelMakerEngine",
                      "$values": []
                    },
                    "EquationOBXInternal": "26.697",
                    "NameOfGroup": "Inputs",
                    "EquationToParse": "26.697",
                    "MostRecentExpectedUnitErrors": null,
                    "Units": {
                      "$id": "60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Pension deficit repair allowance PR24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1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61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Pre_inflation_tax_PR19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597bdeb0-55ef-488a-bf17-5d781a83c34a",
                    "Dimensions": {
                      "$type": "ModelMakerEngine.MMDimensions, ModelMakerEngine",
                      "$values": []
                    },
                    "EquationOBXInternal": "120.879",
                    "NameOfGroup": "Unallocated",
                    "EquationToParse": "120.879",
                    "MostRecentExpectedUnitErrors": null,
                    "Units": {
                      "$id": "62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Pre-inflation tax PR19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2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63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Tax_PR24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8ba0dfef-32a4-4813-9ddc-4d9e8e000fea",
                    "Dimensions": {
                      "$type": "ModelMakerEngine.MMDimensions, ModelMakerEngine",
                      "$values": []
                    },
                    "EquationOBXInternal": "93.353",
                    "NameOfGroup": "Inputs",
                    "EquationToParse": "93.353",
                    "MostRecentExpectedUnitErrors": null,
                    "Units": {
                      "$id": "64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Tax PR24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3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65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Pre_inflation_revenue_profiling_PR19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
                        {
                          "$id": "66",
                          "$type": "ModelMaker.DimensionedArrayValues, ModelMaker",
                          "Elements": {
                            "$type": "ModelMakerEngine.MMElements, ModelMakerEngine",
                            "$values": []
                          },
                          "Values": {
                            "$type": "System.Collections.Generic.List`1[[System.Object, mscorlib]], mscorlib",
                            "$values": [
                              0.0,
                              null,
                              null,
                              null,
                              null,
                              null,
                              null,
                              null
                            ]
                          }
                        }
                      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189e0cd8-b8d3-48ff-b00c-dfa189bc2f82",
                    "Dimensions": {
                      "$type": "ModelMakerEngine.MMDimensions, ModelMakerEngine",
                      "$values": []
                    },
                    "EquationOBXInternal": "{0,,,,,,,}",
                    "NameOfGroup": "Inputs.Other wholesale items",
                    "EquationToParse": "{0,,,,,,,}",
                    "MostRecentExpectedUnitErrors": null,
                    "Units": {
                      "$id": "67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Pre-inflation revenue profiling PR19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4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68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Revenue_profiling_PR24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6d9f14f1-3cd6-491b-adb6-f0834746d5be",
                    "Dimensions": {
                      "$type": "ModelMakerEngine.MMDimensions, ModelMakerEngine",
                      "$values": []
                    },
                    "EquationOBXInternal": "0-156.841",
                    "NameOfGroup": "Inputs.Other wholesale items",
                    "EquationToParse": "0-156.841",
                    "MostRecentExpectedUnitErrors": null,
                    "Units": {
                      "$id": "69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Revenue profiling PR24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5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
                ]
              },
              "AllowAddChildren": true,
              "AllowRemoveChildren": true,
              "IsImported": false,
              "IsChecksGroup": false,
              "IsAlertsGroup": false,
              "IsChecksAndAlertsGroup": false,
              "IsUnallocatedGroup": false,
              "IsInputsGroup": false,
              "IsFlag": false,
              "IsTimeAndFlagsGroup": false,
              "DimensionsAcross": {
                "$type": "ModelMakerEngine.MMDimensions, ModelMakerEngine",
                "$values": []
              },
              "TimeAxis": 0,
              "IndexInParent": -1,
              "Name": "Other wholesale items",
              "Parent": {
                "$ref": "1"
              },
              "Visible": true,
              "ToolTip": "",
              "OpeningBalanceFlagAppliedName": "",
              "AllowIncomingLinks": false,
              "AllowOutgoingLinks": fals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Deletable": true,
              "Issues": null
            },
            {
              "$id": "70",
              "$type": "ModelMaker.GroupNode, ModelMaker",
              "TabOrHeaderColour": "",
              "Comment": "",
              "NameOfGroup": "Inputs",
              "YPosition": 7,
              "Folded": false,
              "Font": null,
              "Children": {
                "$type": "ModelMaker.GroupNodeChildCollection, ModelMaker",
                "$values": [
                  {
                    "$id": "71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Housing_apportionment_PR19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6dcba9d1-355e-48af-8ef6-ef080cf2d48d",
                    "Dimensions": {
                      "$type": "ModelMakerEngine.MMDimensions, ModelMakerEngine",
                      "$values": []
                    },
                    "EquationOBXInternal": "0.7593%",
                    "NameOfGroup": "Inputs",
                    "EquationToParse": "0.7593%",
                    "MostRecentExpectedUnitErrors": null,
                    "Units": {
                      "$id": "72",
                      "$type": "ModelMaker.Unit, ModelMaker",
                      "NumberFormatOverride": null,
                      "MatchAnything": false,
                      "ExternalRepresentation": "%",
                      "ItemsOnTop": {
                        "$type": "System.Collections.Generic.List`1[[System.String, mscorlib]], mscorlib",
                        "$values": []
                      },
                      "ItemsOnBottom": {
                        "$type": "System.Collections.Generic.List`1[[System.String, mscorlib]], mscorlib",
                        "$values": []
                      },
                      "IsCurrency": false,
                      "ContainsSMU": false,
                      "IsDimensionless": true,
                      "InsertRowTotal": true,
                      "IgnoreWhenDeterminingExpectedUnits": false
                    },
                    "Name": "Housing apportionment PR19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0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73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Housing_apportionment_PR24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12db80d5-d484-4e5a-abe6-eb0e7cd71452",
                    "Dimensions": {
                      "$type": "ModelMakerEngine.MMDimensions, ModelMakerEngine",
                      "$values": []
                    },
                    "EquationOBXInternal": "0.7619%",
                    "NameOfGroup": "Inputs",
                    "EquationToParse": "0.7619%",
                    "MostRecentExpectedUnitErrors": null,
                    "Units": {
                      "$id": "74",
                      "$type": "ModelMaker.Unit, ModelMaker",
                      "NumberFormatOverride": null,
                      "MatchAnything": false,
                      "ExternalRepresentation": "%",
                      "ItemsOnTop": {
                        "$type": "System.Collections.Generic.List`1[[System.String, mscorlib]], mscorlib",
                        "$values": []
                      },
                      "ItemsOnBottom": {
                        "$type": "System.Collections.Generic.List`1[[System.String, mscorlib]], mscorlib",
                        "$values": []
                      },
                      "IsCurrency": false,
                      "ContainsSMU": false,
                      "IsDimensionless": true,
                      "InsertRowTotal": true,
                      "IgnoreWhenDeterminingExpectedUnits": false
                    },
                    "Name": "Housing apportionment PR24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1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75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Number_of_metered_households_PR19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32ee041f-e3cb-4b59-89c5-9011be3cc502",
                    "Dimensions": {
                      "$type": "ModelMakerEngine.MMDimensions, ModelMakerEngine",
                      "$values": []
                    },
                    "EquationOBXInternal": "10402.585",
                    "NameOfGroup": "Inputs",
                    "EquationToParse": "10402.585",
                    "MostRecentExpectedUnitErrors": null,
                    "Units": {
                      "$id": "76",
                      "$type": "ModelMaker.Unit, ModelMaker",
                      "NumberFormatOverride": null,
                      "MatchAnything": false,
                      "ExternalRepresentation": "000 customers",
                      "ItemsOnTop": {
                        "$type": "System.Collections.Generic.List`1[[System.String, mscorlib]], mscorlib",
                        "$values": [
                          "000 CUSTOMERS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false,
                      "ContainsSMU": false,
                      "IsDimensionless": false,
                      "InsertRowTotal": true,
                      "IgnoreWhenDeterminingExpectedUnits": false
                    },
                    "Name": "Number of metered households PR19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2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77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Number_of_unmetered_households_PR19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033df2e5-0eea-40dd-8885-2016d121a5a6",
                    "Dimensions": {
                      "$type": "ModelMakerEngine.MMDimensions, ModelMakerEngine",
                      "$values": []
                    },
                    "EquationOBXInternal": "7210.323",
                    "NameOfGroup": "Inputs",
                    "EquationToParse": "7210.323",
                    "MostRecentExpectedUnitErrors": null,
                    "Units": {
                      "$id": "78",
                      "$type": "ModelMaker.Unit, ModelMaker",
                      "NumberFormatOverride": null,
                      "MatchAnything": false,
                      "ExternalRepresentation": "000 customers",
                      "ItemsOnTop": {
                        "$type": "System.Collections.Generic.List`1[[System.String, mscorlib]], mscorlib",
                        "$values": [
                          "000 CUSTOMERS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false,
                      "ContainsSMU": false,
                      "IsDimensionless": false,
                      "InsertRowTotal": true,
                      "IgnoreWhenDeterminingExpectedUnits": false
                    },
                    "Name": "Number of unmetered households PR19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3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79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Number_of_metered_households_PR24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25382f9f-0a05-483e-9be2-232eadb96428",
                    "Dimensions": {
                      "$type": "ModelMakerEngine.MMDimensions, ModelMakerEngine",
                      "$values": []
                    },
                    "EquationOBXInternal": "11997.92",
                    "NameOfGroup": "Inputs",
                    "EquationToParse": "11997.92",
                    "MostRecentExpectedUnitErrors": null,
                    "Units": {
                      "$id": "80",
                      "$type": "ModelMaker.Unit, ModelMaker",
                      "NumberFormatOverride": null,
                      "MatchAnything": false,
                      "ExternalRepresentation": "000 customers",
                      "ItemsOnTop": {
                        "$type": "System.Collections.Generic.List`1[[System.String, mscorlib]], mscorlib",
                        "$values": [
                          "000 CUSTOMERS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false,
                      "ContainsSMU": false,
                      "IsDimensionless": false,
                      "InsertRowTotal": true,
                      "IgnoreWhenDeterminingExpectedUnits": false
                    },
                    "Name": "Number of metered households PR24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4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81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Number_of_unmetered_households_PR24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2ed551ec-8ec0-4b67-a2a8-572147b572f0",
                    "Dimensions": {
                      "$type": "ModelMakerEngine.MMDimensions, ModelMakerEngine",
                      "$values": []
                    },
                    "EquationOBXInternal": "6481.005",
                    "NameOfGroup": "Inputs",
                    "EquationToParse": "6481.005",
                    "MostRecentExpectedUnitErrors": null,
                    "Units": {
                      "$id": "82",
                      "$type": "ModelMaker.Unit, ModelMaker",
                      "NumberFormatOverride": null,
                      "MatchAnything": false,
                      "ExternalRepresentation": "000 customers",
                      "ItemsOnTop": {
                        "$type": "System.Collections.Generic.List`1[[System.String, mscorlib]], mscorlib",
                        "$values": [
                          "000 CUSTOMERS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false,
                      "ContainsSMU": false,
                      "IsDimensionless": false,
                      "InsertRowTotal": true,
                      "IgnoreWhenDeterminingExpectedUnits": false
                    },
                    "Name": "Number of unmetered households PR24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5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
                ]
              },
              "AllowAddChildren": true,
              "AllowRemoveChildren": true,
              "IsImported": false,
              "IsChecksGroup": false,
              "IsAlertsGroup": false,
              "IsChecksAndAlertsGroup": false,
              "IsUnallocatedGroup": false,
              "IsInputsGroup": false,
              "IsFlag": false,
              "IsTimeAndFlagsGroup": false,
              "DimensionsAcross": {
                "$type": "ModelMakerEngine.MMDimensions, ModelMakerEngine",
                "$values": []
              },
              "TimeAxis": 0,
              "IndexInParent": -1,
              "Name": "Housing",
              "Parent": {
                "$ref": "1"
              },
              "Visible": true,
              "ToolTip": "",
              "OpeningBalanceFlagAppliedName": "",
              "AllowIncomingLinks": false,
              "AllowOutgoingLinks": fals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Deletable": true,
              "Issues": null
            },
            {
              "$id": "83",
              "$type": "ModelMaker.GroupNode, ModelMaker",
              "TabOrHeaderColour": "",
              "Comment": "",
              "NameOfGroup": "Inputs",
              "YPosition": 8,
              "Folded": false,
              "Font": null,
              "Children": {
                "$type": "ModelMaker.GroupNodeChildCollection, ModelMaker",
                "$values": [
                  {
                    "$id": "84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Total_retail_revenue_PR19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2c4525a2-93ce-47c8-9e9f-a19db57b0b9c",
                    "Dimensions": {
                      "$type": "ModelMakerEngine.MMDimensions, ModelMakerEngine",
                      "$values": []
                    },
                    "EquationOBXInternal": "632.087",
                    "NameOfGroup": "Unallocated",
                    "EquationToParse": "632.087",
                    "MostRecentExpectedUnitErrors": null,
                    "Units": {
                      "$id": "85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Total retail revenue PR19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0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86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Total_retail_revenue_PR24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9078b97c-5d7a-4e72-9455-22c2ec6c01d1",
                    "Dimensions": {
                      "$type": "ModelMakerEngine.MMDimensions, ModelMakerEngine",
                      "$values": []
                    },
                    "EquationOBXInternal": "469.862",
                    "NameOfGroup": "Unallocated",
                    "EquationToParse": "469.862",
                    "MostRecentExpectedUnitErrors": null,
                    "Units": {
                      "$id": "87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Total retail revenue PR24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1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
                ]
              },
              "AllowAddChildren": true,
              "AllowRemoveChildren": true,
              "IsImported": false,
              "IsChecksGroup": false,
              "IsAlertsGroup": false,
              "IsChecksAndAlertsGroup": false,
              "IsUnallocatedGroup": false,
              "IsInputsGroup": false,
              "IsFlag": false,
              "IsTimeAndFlagsGroup": false,
              "DimensionsAcross": {
                "$type": "ModelMakerEngine.MMDimensions, ModelMakerEngine",
                "$values": []
              },
              "TimeAxis": 0,
              "IndexInParent": -1,
              "Name": "Cost to serve",
              "Parent": {
                "$ref": "1"
              },
              "Visible": true,
              "ToolTip": "",
              "OpeningBalanceFlagAppliedName": "",
              "AllowIncomingLinks": false,
              "AllowOutgoingLinks": fals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Deletable": true,
              "Issues": null
            },
            {
              "$id": "88",
              "$type": "ModelMaker.GroupNode, ModelMaker",
              "TabOrHeaderColour": "",
              "Comment": "",
              "NameOfGroup": "Inputs",
              "YPosition": 9,
              "Folded": false,
              "Font": null,
              "Children": {
                "$type": "ModelMaker.GroupNodeChildCollection, ModelMaker",
                "$values": [
                  {
                    "$id": "89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Pre_inflation_base_expenditure_PR19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9eb7a53d-9f8a-4f6b-8d76-68a80b0d4b18",
                    "Dimensions": {
                      "$type": "ModelMakerEngine.MMDimensions, ModelMakerEngine",
                      "$values": []
                    },
                    "EquationOBXInternal": "100",
                    "NameOfGroup": "Unallocated",
                    "EquationToParse": "100",
                    "MostRecentExpectedUnitErrors": null,
                    "Units": {
                      "$id": "90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Pre-inflation base expenditure PR19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0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91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Base_expenditure_PR24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56b8807a-e5f7-47b2-9e4f-016b71fec669",
                    "Dimensions": {
                      "$type": "ModelMakerEngine.MMDimensions, ModelMakerEngine",
                      "$values": []
                    },
                    "EquationOBXInternal": "95",
                    "NameOfGroup": "Unallocated",
                    "EquationToParse": "95",
                    "MostRecentExpectedUnitErrors": null,
                    "Units": {
                      "$id": "92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Base expenditure PR24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1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93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Pre_inflation_storm_overflows_PR19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0a060f05-18d8-4280-8dee-a3861dc486a7",
                    "Dimensions": {
                      "$type": "ModelMakerEngine.MMDimensions, ModelMakerEngine",
                      "$values": []
                    },
                    "EquationOBXInternal": "10",
                    "NameOfGroup": "Unallocated",
                    "EquationToParse": "10",
                    "MostRecentExpectedUnitErrors": null,
                    "Units": {
                      "$id": "94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Pre-inflation storm overflows PR19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2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95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Storm_overflows_PR24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4debc847-8e4e-41f2-b2ea-2b1bead0af54",
                    "Dimensions": {
                      "$type": "ModelMakerEngine.MMDimensions, ModelMakerEngine",
                      "$values": []
                    },
                    "EquationOBXInternal": "20",
                    "NameOfGroup": "Unallocated",
                    "EquationToParse": "20",
                    "MostRecentExpectedUnitErrors": null,
                    "Units": {
                      "$id": "96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Storm overflows PR24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3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97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Pre_inflation_nutrient_removal_PR19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ef201084-f948-42af-b5ef-19a102ab21f7",
                    "Dimensions": {
                      "$type": "ModelMakerEngine.MMDimensions, ModelMakerEngine",
                      "$values": []
                    },
                    "EquationOBXInternal": "5",
                    "NameOfGroup": "Unallocated",
                    "EquationToParse": "5",
                    "MostRecentExpectedUnitErrors": null,
                    "Units": {
                      "$id": "98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Pre-inflation nutrient removal PR19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4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99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Nutrient_removal_PR24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4092d27d-fb4e-4c3a-9a4c-264cd41c51c2",
                    "Dimensions": {
                      "$type": "ModelMakerEngine.MMDimensions, ModelMakerEngine",
                      "$values": []
                    },
                    "EquationOBXInternal": "25",
                    "NameOfGroup": "Unallocated",
                    "EquationToParse": "25",
                    "MostRecentExpectedUnitErrors": null,
                    "Units": {
                      "$id": "100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Nutrient removal PR24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5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101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Pre_inflation_resilience_PR19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ffc13c42-2233-4049-840c-12462545fa72",
                    "Dimensions": {
                      "$type": "ModelMakerEngine.MMDimensions, ModelMakerEngine",
                      "$values": []
                    },
                    "EquationOBXInternal": "2",
                    "NameOfGroup": "Breakdown by costs.Cost proportions",
                    "EquationToParse": "2",
                    "MostRecentExpectedUnitErrors": null,
                    "Units": {
                      "$id": "102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Pre-inflation resilience PR19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6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103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Resilience_PR24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e5e59e0b-a5b0-49b1-85ee-173f95339a32",
                    "Dimensions": {
                      "$type": "ModelMakerEngine.MMDimensions, ModelMakerEngine",
                      "$values": []
                    },
                    "EquationOBXInternal": "50",
                    "NameOfGroup": "Breakdown by costs.Cost proportions",
                    "EquationToParse": "50",
                    "MostRecentExpectedUnitErrors": null,
                    "Units": {
                      "$id": "104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Resilience PR24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7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105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Pre_inflation_net_zero_PR19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
                        {
                          "$id": "106",
                          "$type": "ModelMaker.DimensionedArrayValues, ModelMaker",
                          "Elements": {
                            "$type": "ModelMakerEngine.MMElements, ModelMakerEngine",
                            "$values": []
                          },
                          "Values": {
                            "$type": "System.Collections.Generic.List`1[[System.Object, mscorlib]], mscorlib",
                            "$values": [
                              null,
                              null,
                              null,
                              null,
                              null,
                              null,
                              null,
                              null,
                              null,
                              null,
                              null
                            ]
                          }
                        }
                      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5fa31710-7bc2-4732-b9ed-7fc3b99f419a",
                    "Dimensions": {
                      "$type": "ModelMakerEngine.MMDimensions, ModelMakerEngine",
                      "$values": []
                    },
                    "EquationOBXInternal": "{,,,,,,,,,,}",
                    "NameOfGroup": "Breakdown by costs.Cost proportions",
                    "EquationToParse": "{,,,,,,,,,,}",
                    "MostRecentExpectedUnitErrors": null,
                    "Units": {
                      "$id": "107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Pre-inflation net zero PR19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8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108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Net_zero_PR24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
                        {
                          "$id": "109",
                          "$type": "ModelMaker.DimensionedArrayValues, ModelMaker",
                          "Elements": {
                            "$type": "ModelMakerEngine.MMElements, ModelMakerEngine",
                            "$values": []
                          },
                          "Values": {
                            "$type": "System.Collections.Generic.List`1[[System.Object, mscorlib]], mscorlib",
                            "$values": [
                              null,
                              null,
                              null,
                              null,
                              null,
                              null,
                              null,
                              null,
                              null,
                              null,
                              null
                            ]
                          }
                        }
                      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fe3452d2-882e-4a60-857f-34caebe7438b",
                    "Dimensions": {
                      "$type": "ModelMakerEngine.MMDimensions, ModelMakerEngine",
                      "$values": []
                    },
                    "EquationOBXInternal": "{,,,,,,,,,,}",
                    "NameOfGroup": "Breakdown by costs.Cost proportions",
                    "EquationToParse": "{,,,,,,,,,,}",
                    "MostRecentExpectedUnitErrors": null,
                    "Units": {
                      "$id": "110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Net zero PR24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9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111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Pre_inflation_WRMP_PR19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d1755e44-33a0-43d4-84f9-86b70fd7f092",
                    "Dimensions": {
                      "$type": "ModelMakerEngine.MMDimensions, ModelMakerEngine",
                      "$values": []
                    },
                    "EquationOBXInternal": "1",
                    "NameOfGroup": "Unallocated",
                    "EquationToParse": "1",
                    "MostRecentExpectedUnitErrors": null,
                    "Units": {
                      "$id": "112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Pre-inflation WRMP PR19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10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113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WRMP_PR24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f958d088-11a4-480f-9d7c-f66a61bd4c83",
                    "Dimensions": {
                      "$type": "ModelMakerEngine.MMDimensions, ModelMakerEngine",
                      "$values": []
                    },
                    "EquationOBXInternal": "100",
                    "NameOfGroup": "Unallocated",
                    "EquationToParse": "100",
                    "MostRecentExpectedUnitErrors": null,
                    "Units": {
                      "$id": "114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WRMP PR24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11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115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Pre_inflation_environmental_PR19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2fbf45ae-042d-416a-936b-c7bc6fc8885f",
                    "Dimensions": {
                      "$type": "ModelMakerEngine.MMDimensions, ModelMakerEngine",
                      "$values": []
                    },
                    "EquationOBXInternal": null,
                    "NameOfGroup": "Breakdown by costs.Cost proportions",
                    "EquationToParse": "",
                    "MostRecentExpectedUnitErrors": null,
                    "Units": {
                      "$id": "116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Pre-inflation environmental PR19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12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117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Environmental_PR24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021a8c68-df3c-4f15-bb56-ad1f344b6163",
                    "Dimensions": {
                      "$type": "ModelMakerEngine.MMDimensions, ModelMakerEngine",
                      "$values": []
                    },
                    "EquationOBXInternal": null,
                    "NameOfGroup": "Breakdown by costs.Cost proportions",
                    "EquationToParse": "",
                    "MostRecentExpectedUnitErrors": null,
                    "Units": {
                      "$id": "118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Environmental PR24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13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119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Pre_inflation_other_environmental_PR19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f73ae1be-0daf-4a44-84c1-218011f4f369",
                    "Dimensions": {
                      "$type": "ModelMakerEngine.MMDimensions, ModelMakerEngine",
                      "$values": []
                    },
                    "EquationOBXInternal": "",
                    "NameOfGroup": "Unallocated",
                    "EquationToParse": "",
                    "MostRecentExpectedUnitErrors": null,
                    "Units": {
                      "$id": "120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Pre-inflation other environmental PR19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14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121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Other_environmental_PR24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29f70c35-b92e-46e2-a433-7b4eeb0e18a4",
                    "Dimensions": {
                      "$type": "ModelMakerEngine.MMDimensions, ModelMakerEngine",
                      "$values": []
                    },
                    "EquationOBXInternal": "",
                    "NameOfGroup": "Unallocated",
                    "EquationToParse": "",
                    "MostRecentExpectedUnitErrors": null,
                    "Units": {
                      "$id": "122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Other environmental PR24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15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123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Pre_inflation_other_enhancement_costs_PR19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5e7834c3-8594-4826-9603-09559026bbf9",
                    "Dimensions": {
                      "$type": "ModelMakerEngine.MMDimensions, ModelMakerEngine",
                      "$values": []
                    },
                    "EquationOBXInternal": null,
                    "NameOfGroup": "Unallocated",
                    "EquationToParse": "",
                    "MostRecentExpectedUnitErrors": null,
                    "Units": {
                      "$id": "124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Pre-inflation other enhancement costs PR19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16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125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Other_enhancement_costs_PR24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a2802374-5469-44d2-a224-19562fa7e729",
                    "Dimensions": {
                      "$type": "ModelMakerEngine.MMDimensions, ModelMakerEngine",
                      "$values": []
                    },
                    "EquationOBXInternal": "",
                    "NameOfGroup": "Unallocated",
                    "EquationToParse": "",
                    "MostRecentExpectedUnitErrors": null,
                    "Units": {
                      "$id": "126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Other enhancement costs PR24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17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
                ]
              },
              "AllowAddChildren": true,
              "AllowRemoveChildren": true,
              "IsImported": false,
              "IsChecksGroup": false,
              "IsAlertsGroup": false,
              "IsChecksAndAlertsGroup": false,
              "IsUnallocatedGroup": false,
              "IsInputsGroup": false,
              "IsFlag": false,
              "IsTimeAndFlagsGroup": false,
              "DimensionsAcross": {
                "$type": "ModelMakerEngine.MMDimensions, ModelMakerEngine",
                "$values": []
              },
              "TimeAxis": 0,
              "IndexInParent": -1,
              "Name": "Costs breakdown",
              "Parent": {
                "$ref": "1"
              },
              "Visible": true,
              "ToolTip": "",
              "OpeningBalanceFlagAppliedName": "",
              "AllowIncomingLinks": false,
              "AllowOutgoingLinks": fals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Deletable": true,
              "Issues": null
            },
            {
              "$id": "127",
              "$type": "ModelMaker.GroupNode, ModelMaker",
              "TabOrHeaderColour": "",
              "Comment": "",
              "NameOfGroup": "Inputs",
              "YPosition": 10,
              "Folded": true,
              "Font": null,
              "Children": {
                "$type": "ModelMaker.GroupNodeChildCollection, ModelMaker",
                "$values": [
                  {
                    "$id": "128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Units_in_a_thousand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57e8aa49-e4ea-453f-9431-51d420259f80",
                    "Dimensions": {
                      "$type": "ModelMakerEngine.MMDimensions, ModelMakerEngine",
                      "$values": []
                    },
                    "EquationOBXInternal": "1000",
                    "NameOfGroup": "Inputs",
                    "EquationToParse": "1000",
                    "MostRecentExpectedUnitErrors": null,
                    "Units": {
                      "$id": "129",
                      "$type": "ModelMaker.Unit, ModelMaker",
                      "NumberFormatOverride": null,
                      "MatchAnything": false,
                      "ExternalRepresentation": "units",
                      "ItemsOnTop": {
                        "$type": "System.Collections.Generic.List`1[[System.String, mscorlib]], mscorlib",
                        "$values": [
                          "UNITS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false,
                      "ContainsSMU": false,
                      "IsDimensionless": false,
                      "InsertRowTotal": true,
                      "IgnoreWhenDeterminingExpectedUnits": false
                    },
                    "Name": "Units in a thousand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0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
                ]
              },
              "AllowAddChildren": true,
              "AllowRemoveChildren": true,
              "IsImported": false,
              "IsChecksGroup": false,
              "IsAlertsGroup": false,
              "IsChecksAndAlertsGroup": false,
              "IsUnallocatedGroup": false,
              "IsInputsGroup": false,
              "IsFlag": false,
              "IsTimeAndFlagsGroup": false,
              "DimensionsAcross": {
                "$type": "ModelMakerEngine.MMDimensions, ModelMakerEngine",
                "$values": []
              },
              "TimeAxis": 0,
              "IndexInParent": -1,
              "Name": "Model Constants",
              "Parent": {
                "$ref": "1"
              },
              "Visible": true,
              "ToolTip": "",
              "OpeningBalanceFlagAppliedName": "",
              "AllowIncomingLinks": false,
              "AllowOutgoingLinks": fals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Deletable": true,
              "Issues": null
            },
            {
              "$id": "130",
              "$type": "ModelMaker.VariableNode, ModelMaker",
              "RowTotalDependent": null,
              "PutCalculationOnReport": false,
              "CalculateOnThisReport": null,
              "PivotTableLink": null,
              "ExcelNameName": "Months_per_period",
              "ExcelNameNames": {
                "$type": "ModelMakerEngine.ExcelNameDictionary, ModelMakerEngine",
                "$values": []
              },
              "NumberFormatOverride": null,
              "HasOpeningBalanceFlag": false,
              "OpeningBalanceFlagAppliedName": "",
              "Deletable": false,
              "Comment": "",
              "HasSwitchSignLine": false,
              "SwitchSignForReport": false,
              "MultipleInputValues": null,
              "NonPrimaryInput": false,
              "Max": "NaN",
              "Min": "NaN",
              "IsBalanceButNotCorkscrew": false,
              "IsEditable": true,
              "IsConstant": true,
              "UniqueID": "e1d86e84-e1fc-417b-85b4-2d39a2e5b720",
              "Dimensions": {
                "$type": "ModelMakerEngine.MMDimensions, ModelMakerEngine",
                "$values": []
              },
              "EquationOBXInternal": "12",
              "NameOfGroup": "Inputs",
              "EquationToParse": "12",
              "MostRecentExpectedUnitErrors": null,
              "Units": {
                "$id": "131",
                "$type": "ModelMaker.Unit, ModelMaker",
                "NumberFormatOverride": null,
                "MatchAnything": false,
                "ExternalRepresentation": "Months",
                "ItemsOnTop": {
                  "$type": "System.Collections.Generic.List`1[[System.String, mscorlib]], mscorlib",
                  "$values": [
                    "MONTH"
                  ]
                },
                "ItemsOnBottom": {
                  "$type": "System.Collections.Generic.List`1[[System.String, mscorlib]], mscorlib",
                  "$values": []
                },
                "IsCurrency": false,
                "ContainsSMU": false,
                "IsDimensionless": false,
                "InsertRowTotal": true,
                "IgnoreWhenDeterminingExpectedUnits": false
              },
              "Name": "Months per period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true,
              "UnitsErrorMessage": "",
              "IgnoreUnitIssues": false,
              "IsPlaceholder": false,
              "StandardName": 11,
              "IsStandardNode": true,
              "WarnMessage": null,
              "StandardDescription": null,
              "HasStandardDescription": false,
              "HasStandardName": true,
              "OptimisationNodePair": null,
              "IsOptimisationNode": false,
              "Actuals": null,
              "UDFCode": null,
              "AssociatedOptimisationNodes": null,
              "CustomNamedRange": null,
              "IsRowTotal": false,
              "YPosition": 11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
          ]
        },
        "AllowAddChildren": true,
        "AllowRemoveChildren": true,
        "IsImported": false,
        "IsChecksGroup": false,
        "IsAlertsGroup": false,
        "IsChecksAndAlertsGroup": false,
        "IsUnallocatedGroup": false,
        "IsInputsGroup": true,
        "IsFlag": false,
        "IsTimeAndFlagsGroup": false,
        "DimensionsAcross": {
          "$type": "ModelMakerEngine.MMDimensions, ModelMakerEngine",
          "$values": []
        },
        "TimeAxis": 0,
        "IndexInParent": 1,
        "Name": "Inputs",
        "Parent": {
          "$ref": "1"
        },
        "Visible": true,
        "ToolTip": "",
        "OpeningBalanceFlagAppliedName": "",
        "AllowIncomingLinks": false,
        "AllowOutgoingLinks": fals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false,
        "Issues": null
      },
      {
        "$id": "132",
        "$type": "ModelMaker.GroupNode, ModelMaker",
        "TabOrHeaderColour": "",
        "Comment": "",
        "NameOfGroup": null,
        "YPosition": 0,
        "Folded": false,
        "Font": null,
        "Children": {
          "$type": "ModelMaker.GroupNodeChildCollection, ModelMaker",
          "$values": [
            {
              "$id": "133",
              "$type": "ModelMaker.GroupNode, ModelMaker",
              "TabOrHeaderColour": "",
              "Comment": "",
              "NameOfGroup": "Time",
              "YPosition": 0,
              "Folded": false,
              "Font": null,
              "Children": {
                "$type": "ModelMaker.GroupNodeChildCollection, ModelMaker",
                "$values": [
                  {
                    "$id": "134",
                    "$type": "ModelMaker.GroupNode, ModelMaker",
                    "TabOrHeaderColour": "",
                    "Comment": "",
                    "NameOfGroup": "Time.Model Checks and Alerts",
                    "YPosition": 0,
                    "Folded": true,
                    "Font": null,
                    "Children": {
                      "$type": "ModelMaker.GroupNodeChildCollection, ModelMaker",
                      "$values": []
                    },
                    "AllowAddChildren": true,
                    "AllowRemoveChildren": true,
                    "IsImported": false,
                    "IsChecksGroup": true,
                    "IsAlertsGroup": false,
                    "IsChecksAndAlertsGroup": false,
                    "IsUnallocatedGroup": false,
                    "IsInputsGroup": false,
                    "IsFlag": false,
                    "IsTimeAndFlagsGroup": false,
                    "DimensionsAcross": {
                      "$type": "ModelMakerEngine.MMDimensions, ModelMakerEngine",
                      "$values": []
                    },
                    "TimeAxis": 0,
                    "IndexInParent": -1,
                    "Name": "Model Checks",
                    "Parent": {
                      "$ref": "1"
                    },
                    "Visible": true,
                    "ToolTip": "",
                    "OpeningBalanceFlagAppliedName": "",
                    "AllowIncomingLinks": false,
                    "AllowOutgoingLinks": fals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Deletable": false,
                    "Issues": null
                  },
                  {
                    "$id": "135",
                    "$type": "ModelMaker.GroupNode, ModelMaker",
                    "TabOrHeaderColour": "",
                    "Comment": "",
                    "NameOfGroup": "Time.Model Checks and Alerts",
                    "YPosition": 1,
                    "Folded": true,
                    "Font": null,
                    "Children": {
                      "$type": "ModelMaker.GroupNodeChildCollection, ModelMaker",
                      "$values": []
                    },
                    "AllowAddChildren": true,
                    "AllowRemoveChildren": true,
                    "IsImported": false,
                    "IsChecksGroup": false,
                    "IsAlertsGroup": true,
                    "IsChecksAndAlertsGroup": false,
                    "IsUnallocatedGroup": false,
                    "IsInputsGroup": false,
                    "IsFlag": false,
                    "IsTimeAndFlagsGroup": false,
                    "DimensionsAcross": {
                      "$type": "ModelMakerEngine.MMDimensions, ModelMakerEngine",
                      "$values": []
                    },
                    "TimeAxis": 0,
                    "IndexInParent": -1,
                    "Name": "Model Alerts",
                    "Parent": {
                      "$ref": "1"
                    },
                    "Visible": true,
                    "ToolTip": "",
                    "OpeningBalanceFlagAppliedName": "",
                    "AllowIncomingLinks": false,
                    "AllowOutgoingLinks": fals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Deletable": false,
                    "Issues": null
                  }
                ]
              },
              "AllowAddChildren": true,
              "AllowRemoveChildren": true,
              "IsImported": false,
              "IsChecksGroup": false,
              "IsAlertsGroup": false,
              "IsChecksAndAlertsGroup": false,
              "IsUnallocatedGroup": false,
              "IsInputsGroup": false,
              "IsFlag": false,
              "IsTimeAndFlagsGroup": false,
              "DimensionsAcross": {
                "$type": "ModelMakerEngine.MMDimensions, ModelMakerEngine",
                "$values": []
              },
              "TimeAxis": 0,
              "IndexInParent": -1,
              "Name": "Model Checks and Alerts",
              "Parent": {
                "$ref": "1"
              },
              "Visible": true,
              "ToolTip": "",
              "OpeningBalanceFlagAppliedName": "",
              "AllowIncomingLinks": false,
              "AllowOutgoingLinks": fals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Deletable": false,
              "Issues": null
            },
            {
              "$id": "136",
              "$type": "ModelMaker.GroupNode, ModelMaker",
              "TabOrHeaderColour": "",
              "Comment": "",
              "NameOfGroup": "Time",
              "YPosition": 1,
              "Folded": false,
              "Font": null,
              "Children": {
                "$type": "ModelMaker.GroupNodeChildCollection, ModelMaker",
                "$values": [
                  {
                    "$id": "137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Model_period_end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fals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c2279978-11d1-43f3-bff2-f52dbe72f8e3",
                    "Dimensions": {
                      "$type": "ModelMakerEngine.MMDimensions, ModelMakerEngine",
                      "$values": []
                    },
                    "EquationOBXInternal": "EDATE([Model period start], [Months per period]) - 1",
                    "NameOfGroup": "Time.Headers",
                    "EquationToParse": "EDATE([Model period start], [Months per period]) - 1",
                    "MostRecentExpectedUnitErrors": null,
                    "Units": {
                      "$id": "138",
                      "$type": "ModelMaker.Unit, ModelMaker",
                      "NumberFormatOverride": null,
                      "MatchAnything": false,
                      "ExternalRepresentation": "date",
                      "ItemsOnTop": {
                        "$type": "System.Collections.Generic.List`1[[System.String, mscorlib]], mscorlib",
                        "$values": [
                          "DATE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false,
                      "ContainsSMU": false,
                      "IsDimensionless": false,
                      "InsertRowTotal": true,
                      "IgnoreWhenDeterminingExpectedUnits": false
                    },
                    "Name": "Model period end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10,
                    "IsStandardNode": true,
                    "WarnMessage": null,
                    "StandardDescription": null,
                    "HasStandardDescription": false,
                    "HasStandardName": tru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0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139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Timeline_label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d5cc1a52-0b1c-47e0-b4e5-b9cd5544c5be",
                    "Dimensions": {
                      "$type": "ModelMakerEngine.MMDimensions, ModelMakerEngine",
                      "$values": []
                    },
                    "EquationOBXInternal": "IF( [Period number] <=5, \"PR19\", \"PR24\")",
                    "NameOfGroup": "Time.Headers",
                    "EquationToParse": "IF( [Period number] <=5, \"PR19\", \"PR24\")",
                    "MostRecentExpectedUnitErrors": null,
                    "Units": {
                      "$ref": "2"
                    },
                    "Name": "Timeline label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fals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1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140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Contract_year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3f8667d1-e61c-4f9e-868c-59cabb2b0654",
                    "Dimensions": {
                      "$type": "ModelMakerEngine.MMDimensions, ModelMakerEngine",
                      "$values": []
                    },
                    "EquationOBXInternal": "[Period number]",
                    "NameOfGroup": "Time.Headers",
                    "EquationToParse": "[Period number]",
                    "MostRecentExpectedUnitErrors": null,
                    "Units": {
                      "$id": "141",
                      "$type": "ModelMaker.Unit, ModelMaker",
                      "NumberFormatOverride": null,
                      "MatchAnything": false,
                      "ExternalRepresentation": "Counter",
                      "ItemsOnTop": {
                        "$type": "System.Collections.Generic.List`1[[System.String, mscorlib]], mscorlib",
                        "$values": []
                      },
                      "ItemsOnBottom": {
                        "$type": "System.Collections.Generic.List`1[[System.String, mscorlib]], mscorlib",
                        "$values": []
                      },
                      "IsCurrency": false,
                      "ContainsSMU": false,
                      "IsDimensionless": false,
                      "InsertRowTotal": true,
                      "IgnoreWhenDeterminingExpectedUnits": false
                    },
                    "Name": "Contract year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2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142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Period_number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fals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36a06744-5cc3-4bf2-b682-d849ded3b205",
                    "Dimensions": {
                      "$type": "ModelMakerEngine.MMDimensions, ModelMakerEngine",
                      "$values": []
                    },
                    "EquationOBXInternal": "PREVIOUSVALUE()+1",
                    "NameOfGroup": "Time.Headers",
                    "EquationToParse": "PREVIOUSVALUE()+1",
                    "MostRecentExpectedUnitErrors": null,
                    "Units": {
                      "$id": "143",
                      "$type": "ModelMaker.Unit, ModelMaker",
                      "NumberFormatOverride": null,
                      "MatchAnything": false,
                      "ExternalRepresentation": "Counter",
                      "ItemsOnTop": {
                        "$type": "System.Collections.Generic.List`1[[System.String, mscorlib]], mscorlib",
                        "$values": []
                      },
                      "ItemsOnBottom": {
                        "$type": "System.Collections.Generic.List`1[[System.String, mscorlib]], mscorlib",
                        "$values": []
                      },
                      "IsCurrency": false,
                      "ContainsSMU": false,
                      "IsDimensionless": false,
                      "InsertRowTotal": true,
                      "IgnoreWhenDeterminingExpectedUnits": false
                    },
                    "Name": "Period number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8,
                    "IsStandardNode": true,
                    "WarnMessage": null,
                    "StandardDescription": null,
                    "HasStandardDescription": false,
                    "HasStandardName": tru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3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
                ]
              },
              "AllowAddChildren": true,
              "AllowRemoveChildren": true,
              "IsImported": false,
              "IsChecksGroup": false,
              "IsAlertsGroup": false,
              "IsChecksAndAlertsGroup": false,
              "IsUnallocatedGroup": false,
              "IsInputsGroup": false,
              "IsFlag": false,
              "IsTimeAndFlagsGroup": false,
              "DimensionsAcross": {
                "$type": "ModelMakerEngine.MMDimensions, ModelMakerEngine",
                "$values": []
              },
              "TimeAxis": 0,
              "IndexInParent": -1,
              "Name": "Headers",
              "Parent": {
                "$ref": "1"
              },
              "Visible": true,
              "ToolTip": "",
              "OpeningBalanceFlagAppliedName": "",
              "AllowIncomingLinks": false,
              "AllowOutgoingLinks": fals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Deletable": true,
              "Issues": null
            },
            {
              "$id": "144",
              "$type": "ModelMaker.VariableNode, ModelMaker",
              "RowTotalDependent": null,
              "PutCalculationOnReport": false,
              "CalculateOnThisReport": null,
              "PivotTableLink": null,
              "ExcelNameName": "Model_period_start",
              "ExcelNameNames": {
                "$type": "ModelMakerEngine.ExcelNameDictionary, ModelMakerEngine",
                "$values": []
              },
              "NumberFormatOverride": null,
              "HasOpeningBalanceFlag": false,
              "OpeningBalanceFlagAppliedName": "",
              "Deletable": false,
              "Comment": "",
              "HasSwitchSignLine": false,
              "SwitchSignForReport": false,
              "MultipleInputValues": null,
              "NonPrimaryInput": false,
              "Max": "NaN",
              "Min": "NaN",
              "IsBalanceButNotCorkscrew": false,
              "IsEditable": true,
              "IsConstant": false,
              "UniqueID": "2a870539-a3f6-4932-a7b3-20f164f025eb",
              "Dimensions": {
                "$type": "ModelMakerEngine.MMDimensions, ModelMakerEngine",
                "$values": []
              },
              "EquationOBXInternal": "IF([Period number] = 1,[Start date],EDATE(PREVIOUSVALUE(), [Months per period]))",
              "NameOfGroup": "Time",
              "EquationToParse": "IF([Period number] = 1,[Start date],EDATE(PREVIOUSVALUE(), [Months per period]))",
              "MostRecentExpectedUnitErrors": null,
              "Units": {
                "$id": "145",
                "$type": "ModelMaker.Unit, ModelMaker",
                "NumberFormatOverride": null,
                "MatchAnything": false,
                "ExternalRepresentation": "date",
                "ItemsOnTop": {
                  "$type": "System.Collections.Generic.List`1[[System.String, mscorlib]], mscorlib",
                  "$values": [
                    "DATE"
                  ]
                },
                "ItemsOnBottom": {
                  "$type": "System.Collections.Generic.List`1[[System.String, mscorlib]], mscorlib",
                  "$values": []
                },
                "IsCurrency": false,
                "ContainsSMU": false,
                "IsDimensionless": false,
                "InsertRowTotal": true,
                "IgnoreWhenDeterminingExpectedUnits": false
              },
              "Name": "Model period start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true,
              "UnitsErrorMessage": "",
              "IgnoreUnitIssues": false,
              "IsPlaceholder": false,
              "StandardName": 9,
              "IsStandardNode": true,
              "WarnMessage": null,
              "StandardDescription": null,
              "HasStandardDescription": false,
              "HasStandardName": true,
              "OptimisationNodePair": null,
              "IsOptimisationNode": false,
              "Actuals": null,
              "UDFCode": null,
              "AssociatedOptimisationNodes": null,
              "CustomNamedRange": null,
              "IsRowTotal": false,
              "YPosition": 2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
          ]
        },
        "AllowAddChildren": true,
        "AllowRemoveChildren": true,
        "IsImported": false,
        "IsChecksGroup": false,
        "IsAlertsGroup": false,
        "IsChecksAndAlertsGroup": false,
        "IsUnallocatedGroup": false,
        "IsInputsGroup": false,
        "IsFlag": false,
        "IsTimeAndFlagsGroup": true,
        "DimensionsAcross": {
          "$type": "ModelMakerEngine.MMDimensions, ModelMakerEngine",
          "$values": []
        },
        "TimeAxis": 0,
        "IndexInParent": 2,
        "Name": "Time",
        "Parent": {
          "$ref": "1"
        },
        "Visible": true,
        "ToolTip": "",
        "OpeningBalanceFlagAppliedName": "",
        "AllowIncomingLinks": false,
        "AllowOutgoingLinks": fals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false,
        "Issues": null
      },
      {
        "$ref": "134"
      },
      {
        "$ref": "135"
      },
      {
        "$ref": "133"
      },
      {
        "$ref": "5"
      },
      {
        "$ref": "136"
      },
      {
        "$ref": "142"
      },
      {
        "$ref": "130"
      },
      {
        "$ref": "144"
      },
      {
        "$ref": "137"
      },
      {
        "$ref": "7"
      },
      {
        "$ref": "139"
      },
      {
        "$ref": "140"
      },
      {
        "$id": "146",
        "$type": "ModelMaker.VariableNode, ModelMaker",
        "RowTotalDependent": null,
        "PutCalculationOnReport": false,
        "CalculateOnThisReport": null,
        "PivotTableLink": null,
        "ExcelNameName": "Average_totex_increase__decrease_",
        "ExcelNameNames": {
          "$type": "ModelMakerEngine.ExcelNameDictionary, ModelMakerEngine",
          "$values": []
        },
        "NumberFormatOverride": null,
        "HasOpeningBalanceFlag": false,
        "OpeningBalanceFlagAppliedName": "",
        "Deletable": true,
        "Comment": "",
        "HasSwitchSignLine": false,
        "SwitchSignForReport": false,
        "MultipleInputValues": null,
        "NonPrimaryInput": false,
        "Max": "NaN",
        "Min": "NaN",
        "IsBalanceButNotCorkscrew": false,
        "IsEditable": true,
        "IsConstant": false,
        "UniqueID": "08415a70-364a-40a0-8e72-29292008e56d",
        "Dimensions": {
          "$type": "ModelMakerEngine.MMDimensions, ModelMakerEngine",
          "$values": []
        },
        "EquationOBXInternal": "[Impact of average totex change]/[Average PAYG variance] * [Average PAYG bill impact]",
        "NameOfGroup": "Unallocated",
        "EquationToParse": "[Impact of average totex change]/[Average PAYG variance] * [Average PAYG bill impact]",
        "MostRecentExpectedUnitErrors": null,
        "Units": {
          "$id": "147",
          "$type": "ModelMaker.Unit, ModelMaker",
          "NumberFormatOverride": null,
          "MatchAnything": false,
          "ExternalRepresentation": "£ / customer",
          "ItemsOnTop": {
            "$type": "System.Collections.Generic.List`1[[System.String, mscorlib]], mscorlib",
            "$values": [
              "£"
            ]
          },
          "ItemsOnBottom": {
            "$type": "System.Collections.Generic.List`1[[System.String, mscorlib]], mscorlib",
            "$values": [
              "CUSTOMER"
            ]
          },
          "IsCurrency": true,
          "ContainsSMU": false,
          "IsDimensionless": false,
          "InsertRowTotal": true,
          "IgnoreWhenDeterminingExpectedUnits": false
        },
        "Name": "Average totex increase/(decrease)",
        "ReportLines": {
          "$type": "ModelMaker.UndoableCollection`1[[ModelMakerEngine.IReportLine, ModelMakerEngine]], ModelMaker.Undo",
          "$values": [
            {
              "$id": "148",
              "$type": "ModelMaker.ReportLine, ModelMaker",
              "AssociatedSchematicNode": {
                "$ref": "146"
              },
              "OpeningBalanceFlagAppliedName": "",
              "SumOfAboveIncludesPreviousTotal": false,
              "LastNameUsed": null,
              "SwitchSignForReport": false,
              "IsSumOfAbove": false,
              "ParentReport": {
                "$id": "149",
                "$type": "ModelMaker.Report, ModelMaker",
                "TimeStep": 8,
                "YearEndBasis": 1002,
                "TimeStepYearEndBasisPairs": {
                  "$type": "ModelMaker.UndoableCollection`1[[ModelMakerEngine.TimeStepPeriodEndBasisPair, ModelMakerEngine]], ModelMaker.Undo",
                  "$values": [
                    {
                      "$id": "150",
                      "$type": "ModelMakerEngine.TimeStepPeriodEndBasisPair, ModelMakerEngine",
                      "TimeStep": 8,
                      "YearEnd": 1002
                    }
                  ]
                },
                "YearEndMonth": 0,
                "AllowTitleChange": true,
                "IsDuplicate": false,
                "Title": "Total bill impacts",
                "ReportLinesCalculated": {
                  "$type": "System.Collections.Generic.List`1[[ModelMakerEngine.IReportLine, ModelMakerEngine]], mscorlib",
                  "$values": []
                },
                "ReportLines": {
                  "$type": "ModelMaker.UndoableCollection`1[[ModelMakerEngine.IReportLine, ModelMakerEngine]], ModelMaker.Undo",
                  "$values": [
                    {
                      "$id": "151",
                      "$type": "ModelMaker.Header, ModelMaker",
                      "HeadingLevel": 1,
                      "Name": "Totex",
                      "UnNegatedName": "Totex",
                      "ParentReport": {
                        "$ref": "149"
                      },
                      "Visible": true,
                      "ReportFormatName": "",
                      "IsNegatable": false,
                      "LastNameUsed": "Totex"
                    },
                    {
                      "$ref": "148"
                    },
                    {
                      "$id": "152",
                      "$type": "ModelMaker.ReportLine, ModelMaker",
                      "AssociatedSchematicNode": {
                        "$id": "153",
                        "$type": "ModelMaker.VariableNode, ModelMaker",
                        "RowTotalDependent": null,
                        "PutCalculationOnReport": false,
                        "CalculateOnThisReport": null,
                        "PivotTableLink": null,
                        "ExcelNameName": "Final_Impact_of_PAYG_rate_change",
                        "ExcelNameNames": {
                          "$type": "ModelMakerEngine.ExcelNameDictionary, ModelMakerEngine",
                          "$values": []
                        },
                        "NumberFormatOverride": null,
                        "HasOpeningBalanceFlag": false,
                        "OpeningBalanceFlagAppliedName": "",
                        "Deletable": true,
                        "Comment": "",
                        "HasSwitchSignLine": false,
                        "SwitchSignForReport": false,
                        "MultipleInputValues": null,
                        "NonPrimaryInput": false,
                        "Max": "NaN",
                        "Min": "NaN",
                        "IsBalanceButNotCorkscrew": false,
                        "IsEditable": true,
                        "IsConstant": false,
                        "UniqueID": "bbb1aa58-faba-4e8f-905b-5a7ba4b06f03",
                        "Dimensions": {
                          "$type": "ModelMakerEngine.MMDimensions, ModelMakerEngine",
                          "$values": []
                        },
                        "EquationOBXInternal": "[PAYG bill impact] - [Average totex increase/(decrease)]",
                        "NameOfGroup": "Totex.Final PAYG",
                        "EquationToParse": "[PAYG bill impact] - [Average totex increase/(decrease)]",
                        "MostRecentExpectedUnitErrors": null,
                        "Units": {
                          "$id": "154",
                          "$type": "ModelMaker.Unit, ModelMaker",
                          "NumberFormatOverride": null,
                          "MatchAnything": false,
                          "ExternalRepresentation": "£ / customer",
                          "ItemsOnTop": {
                            "$type": "System.Collections.Generic.List`1[[System.String, mscorlib]], mscorlib",
                            "$values": [
                              "£"
                            ]
                          },
                          "ItemsOnBottom": {
                            "$type": "System.Collections.Generic.List`1[[System.String, mscorlib]], mscorlib",
                            "$values": [
                              "customer"
                            ]
                          },
                          "IsCurrency": true,
                          "ContainsSMU": false,
                          "IsDimensionless": false,
                          "InsertRowTotal": true,
                          "IgnoreWhenDeterminingExpectedUnits": false
                        },
                        "Name": "Final Impact of PAYG rate change",
                        "ReportLines": {
                          "$type": "ModelMaker.UndoableCollection`1[[ModelMakerEngine.IReportLine, ModelMakerEngine]], ModelMaker.Undo",
                          "$values": [
                            {
                              "$ref": "152"
                            }
                          ]
                        },
                        "IsOpeningBalance": false,
                        "ExternalLinks": {
                          "$type": "UINext.Collections.DeepObservableCollection`1[[ExternalLinks.IExternalDataLink, ExternalLinks]], UINext",
                          "$values": []
                        },
                        "HasUnits": true,
                        "UnitsValid": true,
                        "UnitsErrorMessage": "",
                        "IgnoreUnitIssues": false,
                        "IsPlaceholder": false,
                        "StandardName": 0,
                        "IsStandardNode": false,
                        "WarnMessage": null,
                        "StandardDescription": null,
                        "HasStandardDescription": false,
                        "HasStandardName": false,
                        "OptimisationNodePair": null,
                        "IsOptimisationNode": false,
                        "Actuals": null,
                        "UDFCode": null,
                        "AssociatedOptimisationNodes": null,
                        "CustomNamedRange": null,
                        "IsRowTotal": false,
                        "YPosition": 16,
                        "Parent": {
                          "$ref": "1"
                        },
                        "Visible": true,
                        "Font": null,
                        "AllowIncomingLinks": true,
                        "AllowOutgoingLinks": true,
                        "IncomingLinks": {
                          "$type": "System.Collections.ObjectModel.Collection`1[[ModelMaker.MMLink, ModelMaker]], mscorlib",
                          "$values": []
                        },
                        "OutgoingLinks": {
                          "$type": "System.Collections.ObjectModel.Collection`1[[ModelMaker.MMLink, ModelMaker]], mscorlib",
                          "$values": []
                        },
                        "Issues": null
                      },
                      "OpeningBalanceFlagAppliedName": "",
                      "SumOfAboveIncludesPreviousTotal": false,
                      "LastNameUsed": null,
                      "SwitchSignForReport": false,
                      "IsSumOfAbove": false,
                      "ParentReport": {
                        "$ref": "149"
                      },
                      "HeadingLevel": 0,
                      "ReportFormatName": null,
                      "YPosition": -1,
                      "Visible": true,
                      "Font": null,
                      "AllowIncomingLinks": true,
                      "AllowOutgoingLinks": true,
                      "Deletable": true,
                      "Issues": null
                    },
                    {
                      "$id": "155",
                      "$type": "ModelMaker.Header, ModelMaker",
                      "HeadingLevel": 1,
                      "Name": "RCV",
                      "UnNegatedName": "RCV",
                      "ParentReport": {
                        "$ref": "149"
                      },
                      "Visible": true,
                      "ReportFormatName": "",
                      "IsNegatable": false,
                      "LastNameUsed": "RCV"
                    },
                    {
                      "$id": "156",
                      "$type": "ModelMaker.ReportLine, ModelMaker",
                      "AssociatedSchematicNode": {
                        "$id": "157",
                        "$type": "ModelMaker.VariableNode, ModelMaker",
                        "RowTotalDependent": null,
                        "PutCalculationOnReport": false,
                        "CalculateOnThisReport": null,
                        "PivotTableLink": null,
                        "ExcelNameName": "RCV",
                        "ExcelNameNames": {
                          "$type": "ModelMakerEngine.ExcelNameDictionary, ModelMakerEngine",
                          "$values": []
                        },
                        "NumberFormatOverride": null,
                        "HasOpeningBalanceFlag": false,
                        "OpeningBalanceFlagAppliedName": "",
                        "Deletable": true,
                        "Comment": "",
                        "HasSwitchSignLine": false,
                        "SwitchSignForReport": false,
                        "MultipleInputValues": null,
                        "NonPrimaryInput": false,
                        "Max": "NaN",
                        "Min": "NaN",
                        "IsBalanceButNotCorkscrew": false,
                        "IsEditable": true,
                        "IsConstant": false,
                        "UniqueID": "5945156b-1381-471a-87f6-a48e05a5c3c1",
                        "Dimensions": {
                          "$type": "ModelMakerEngine.MMDimensions, ModelMakerEngine",
                          "$values": []
                        },
                        "EquationOBXInternal": "[Impact of increased RCV]/[Run off variance] * [Run off bill impact]",
                        "NameOfGroup": "Unallocated",
                        "EquationToParse": "[Impact of increased RCV]/[Run off variance] * [Run off bill impact]",
                        "MostRecentExpectedUnitErrors": null,
                        "Units": {
                          "$id": "158",
                          "$type": "ModelMaker.Unit, ModelMaker",
                          "NumberFormatOverride": null,
                          "MatchAnything": false,
                          "ExternalRepresentation": "£ / customer",
                          "ItemsOnTop": {
                            "$type": "System.Collections.Generic.List`1[[System.String, mscorlib]], mscorlib",
                            "$values": [
                              "£"
                            ]
                          },
                          "ItemsOnBottom": {
                            "$type": "System.Collections.Generic.List`1[[System.String, mscorlib]], mscorlib",
                            "$values": [
                              "CUSTOMER"
                            ]
                          },
                          "IsCurrency": true,
                          "ContainsSMU": false,
                          "IsDimensionless": false,
                          "InsertRowTotal": true,
                          "IgnoreWhenDeterminingExpectedUnits": false
                        },
                        "Name": "RCV",
                        "ReportLines": {
                          "$type": "ModelMaker.UndoableCollection`1[[ModelMakerEngine.IReportLine, ModelMakerEngine]], ModelMaker.Undo",
                          "$values": [
                            {
                              "$ref": "156"
                            }
                          ]
                        },
                        "IsOpeningBalance": false,
                        "ExternalLinks": {
                          "$type": "UINext.Collections.DeepObservableCollection`1[[ExternalLinks.IExternalDataLink, ExternalLinks]], UINext",
                          "$values": []
                        },
                        "HasUnits": true,
                        "UnitsValid": true,
                        "UnitsErrorMessage": "",
                        "IgnoreUnitIssues": false,
                        "IsPlaceholder": false,
                        "StandardName": 0,
                        "IsStandardNode": false,
                        "WarnMessage": null,
                        "StandardDescription": null,
                        "HasStandardDescription": false,
                        "HasStandardName": false,
                        "OptimisationNodePair": null,
                        "IsOptimisationNode": false,
                        "Actuals": null,
                        "UDFCode": null,
                        "AssociatedOptimisationNodes": null,
                        "CustomNamedRange": null,
                        "IsRowTotal": false,
                        "YPosition": 10,
                        "Parent": {
                          "$ref": "1"
                        },
                        "Visible": true,
                        "Font": null,
                        "AllowIncomingLinks": true,
                        "AllowOutgoingLinks": true,
                        "IncomingLinks": {
                          "$type": "System.Collections.ObjectModel.Collection`1[[ModelMaker.MMLink, ModelMaker]], mscorlib",
                          "$values": []
                        },
                        "OutgoingLinks": {
                          "$type": "System.Collections.ObjectModel.Collection`1[[ModelMaker.MMLink, ModelMaker]], mscorlib",
                          "$values": []
                        },
                        "Issues": null
                      },
                      "OpeningBalanceFlagAppliedName": "",
                      "SumOfAboveIncludesPreviousTotal": false,
                      "LastNameUsed": null,
                      "SwitchSignForReport": false,
                      "IsSumOfAbove": false,
                      "ParentReport": {
                        "$ref": "149"
                      },
                      "HeadingLevel": 0,
                      "ReportFormatName": null,
                      "YPosition": -1,
                      "Visible": true,
                      "Font": null,
                      "AllowIncomingLinks": true,
                      "AllowOutgoingLinks": true,
                      "Deletable": true,
                      "Issues": null
                    },
                    {
                      "$id": "159",
                      "$type": "ModelMaker.ReportLine, ModelMaker",
                      "AssociatedSchematicNode": {
                        "$id": "160",
                        "$type": "ModelMaker.VariableNode, ModelMaker",
                        "RowTotalDependent": null,
                        "PutCalculationOnReport": false,
                        "CalculateOnThisReport": null,
                        "PivotTableLink": null,
                        "ExcelNameName": "Run_off_rates",
                        "ExcelNameNames": {
                          "$type": "ModelMakerEngine.ExcelNameDictionary, ModelMakerEngine",
                          "$values": []
                        },
                        "NumberFormatOverride": null,
                        "HasOpeningBalanceFlag": false,
                        "OpeningBalanceFlagAppliedName": "",
                        "Deletable": true,
                        "Comment": "",
                        "HasSwitchSignLine": false,
                        "SwitchSignForReport": false,
                        "MultipleInputValues": null,
                        "NonPrimaryInput": false,
                        "Max": "NaN",
                        "Min": "NaN",
                        "IsBalanceButNotCorkscrew": false,
                        "IsEditable": true,
                        "IsConstant": false,
                        "UniqueID": "8cd9c4bf-df0d-4e4b-ac5e-22cbbcbaec80",
                        "Dimensions": {
                          "$type": "ModelMakerEngine.MMDimensions, ModelMakerEngine",
                          "$values": []
                        },
                        "EquationOBXInternal": "[Impact of run off rates]/[Run off variance] * [Run off bill impact]",
                        "NameOfGroup": "Unallocated",
                        "EquationToParse": "[Impact of run off rates]/[Run off variance] * [Run off bill impact]",
                        "MostRecentExpectedUnitErrors": null,
                        "Units": {
                          "$id": "161",
                          "$type": "ModelMaker.Unit, ModelMaker",
                          "NumberFormatOverride": null,
                          "MatchAnything": false,
                          "ExternalRepresentation": "£ / customer",
                          "ItemsOnTop": {
                            "$type": "System.Collections.Generic.List`1[[System.String, mscorlib]], mscorlib",
                            "$values": [
                              "£"
                            ]
                          },
                          "ItemsOnBottom": {
                            "$type": "System.Collections.Generic.List`1[[System.String, mscorlib]], mscorlib",
                            "$values": [
                              "CUSTOMER"
                            ]
                          },
                          "IsCurrency": true,
                          "ContainsSMU": false,
                          "IsDimensionless": false,
                          "InsertRowTotal": true,
                          "IgnoreWhenDeterminingExpectedUnits": false
                        },
                        "Name": "Run-off rates",
                        "ReportLines": {
                          "$type": "ModelMaker.UndoableCollection`1[[ModelMakerEngine.IReportLine, ModelMakerEngine]], ModelMaker.Undo",
                          "$values": [
                            {
                              "$ref": "159"
                            }
                          ]
                        },
                        "IsOpeningBalance": false,
                        "ExternalLinks": {
                          "$type": "UINext.Collections.DeepObservableCollection`1[[ExternalLinks.IExternalDataLink, ExternalLinks]], UINext",
                          "$values": []
                        },
                        "HasUnits": true,
                        "UnitsValid": true,
                        "UnitsErrorMessage": "",
                        "IgnoreUnitIssues": false,
                        "IsPlaceholder": false,
                        "StandardName": 0,
                        "IsStandardNode": false,
                        "WarnMessage": null,
                        "StandardDescription": null,
                        "HasStandardDescription": false,
                        "HasStandardName": false,
                        "OptimisationNodePair": null,
                        "IsOptimisationNode": false,
                        "Actuals": null,
                        "UDFCode": null,
                        "AssociatedOptimisationNodes": null,
                        "CustomNamedRange": null,
                        "IsRowTotal": false,
                        "YPosition": 11,
                        "Parent": {
                          "$ref": "1"
                        },
                        "Visible": true,
                        "Font": null,
                        "AllowIncomingLinks": true,
                        "AllowOutgoingLinks": true,
                        "IncomingLinks": {
                          "$type": "System.Collections.ObjectModel.Collection`1[[ModelMaker.MMLink, ModelMaker]], mscorlib",
                          "$values": []
                        },
                        "OutgoingLinks": {
                          "$type": "System.Collections.ObjectModel.Collection`1[[ModelMaker.MMLink, ModelMaker]], mscorlib",
                          "$values": []
                        },
                        "Issues": null
                      },
                      "OpeningBalanceFlagAppliedName": "",
                      "SumOfAboveIncludesPreviousTotal": false,
                      "LastNameUsed": null,
                      "SwitchSignForReport": false,
                      "IsSumOfAbove": false,
                      "ParentReport": {
                        "$ref": "149"
                      },
                      "HeadingLevel": 0,
                      "ReportFormatName": null,
                      "YPosition": -1,
                      "Visible": true,
                      "Font": null,
                      "AllowIncomingLinks": true,
                      "AllowOutgoingLinks": true,
                      "Deletable": true,
                      "Issues": null
                    },
                    {
                      "$id": "162",
                      "$type": "ModelMaker.Header, ModelMaker",
                      "HeadingLevel": 1,
                      "Name": "Return on capital",
                      "UnNegatedName": "Return on capital",
                      "ParentReport": {
                        "$ref": "149"
                      },
                      "Visible": true,
                      "ReportFormatName": "",
                      "IsNegatable": false,
                      "LastNameUsed": "Return on capital"
                    },
                    {
                      "$id": "163",
                      "$type": "ModelMaker.ReportLine, ModelMaker",
                      "AssociatedSchematicNode": {
                        "$id": "164",
                        "$type": "ModelMaker.VariableNode, ModelMaker",
                        "RowTotalDependent": null,
                        "PutCalculationOnReport": false,
                        "CalculateOnThisReport": null,
                        "PivotTableLink": null,
                        "ExcelNameName": "WACC",
                        "ExcelNameNames": {
                          "$type": "ModelMakerEngine.ExcelNameDictionary, ModelMakerEngine",
                          "$values": []
                        },
                        "NumberFormatOverride": null,
                        "HasOpeningBalanceFlag": false,
                        "OpeningBalanceFlagAppliedName": "",
                        "Deletable": true,
                        "Comment": "",
                        "HasSwitchSignLine": false,
                        "SwitchSignForReport": false,
                        "MultipleInputValues": null,
                        "NonPrimaryInput": false,
                        "Max": "NaN",
                        "Min": "NaN",
                        "IsBalanceButNotCorkscrew": false,
                        "IsEditable": true,
                        "IsConstant": false,
                        "UniqueID": "fdc238be-b7bd-48c0-b754-3e2e971f26f7",
                        "Dimensions": {
                          "$type": "ModelMakerEngine.MMDimensions, ModelMakerEngine",
                          "$values": []
                        },
                        "EquationOBXInternal": "[Pre-adjustment WACC] * [Adjustment factor]",
                        "NameOfGroup": "Unallocated",
                        "EquationToParse": "[Pre-adjustment WACC] * [Adjustment factor]",
                        "MostRecentExpectedUnitErrors": null,
                        "Units": {
                          "$id": "165",
                          "$type": "ModelMaker.Unit, ModelMaker",
                          "NumberFormatOverride": null,
                          "MatchAnything": false,
                          "ExternalRepresentation": "£ / customer",
                          "ItemsOnTop": {
                            "$type": "System.Collections.Generic.List`1[[System.String, mscorlib]], mscorlib",
                            "$values": [
                              "£"
                            ]
                          },
                          "ItemsOnBottom": {
                            "$type": "System.Collections.Generic.List`1[[System.String, mscorlib]], mscorlib",
                            "$values": [
                              "CUSTOMER"
                            ]
                          },
                          "IsCurrency": true,
                          "ContainsSMU": false,
                          "IsDimensionless": false,
                          "InsertRowTotal": true,
                          "IgnoreWhenDeterminingExpectedUnits": false
                        },
                        "Name": "WACC",
                        "ReportLines": {
                          "$type": "ModelMaker.UndoableCollection`1[[ModelMakerEngine.IReportLine, ModelMakerEngine]], ModelMaker.Undo",
                          "$values": [
                            {
                              "$ref": "163"
                            }
                          ]
                        },
                        "IsOpeningBalance": false,
                        "ExternalLinks": {
                          "$type": "UINext.Collections.DeepObservableCollection`1[[ExternalLinks.IExternalDataLink, ExternalLinks]], UINext",
                          "$values": []
                        },
                        "HasUnits": true,
                        "UnitsValid": true,
                        "UnitsErrorMessage": "",
                        "IgnoreUnitIssues": false,
                        "IsPlaceholder": false,
                        "StandardName": 0,
                        "IsStandardNode": false,
                        "WarnMessage": null,
                        "StandardDescription": null,
                        "HasStandardDescription": false,
                        "HasStandardName": false,
                        "OptimisationNodePair": null,
                        "IsOptimisationNode": false,
                        "Actuals": null,
                        "UDFCode": null,
                        "AssociatedOptimisationNodes": null,
                        "CustomNamedRange": null,
                        "IsRowTotal": false,
                        "YPosition": 2,
                        "Parent": {
                          "$ref": "1"
                        },
                        "Visible": true,
                        "Font": null,
                        "AllowIncomingLinks": true,
                        "AllowOutgoingLinks": true,
                        "IncomingLinks": {
                          "$type": "System.Collections.ObjectModel.Collection`1[[ModelMaker.MMLink, ModelMaker]], mscorlib",
                          "$values": []
                        },
                        "OutgoingLinks": {
                          "$type": "System.Collections.ObjectModel.Collection`1[[ModelMaker.MMLink, ModelMaker]], mscorlib",
                          "$values": []
                        },
                        "Issues": null
                      },
                      "OpeningBalanceFlagAppliedName": "",
                      "SumOfAboveIncludesPreviousTotal": false,
                      "LastNameUsed": null,
                      "SwitchSignForReport": false,
                      "IsSumOfAbove": false,
                      "ParentReport": {
                        "$ref": "149"
                      },
                      "HeadingLevel": 0,
                      "ReportFormatName": null,
                      "YPosition": -1,
                      "Visible": true,
                      "Font": null,
                      "AllowIncomingLinks": true,
                      "AllowOutgoingLinks": true,
                      "Deletable": true,
                      "Issues": null
                    },
                    {
                      "$id": "166",
                      "$type": "ModelMaker.Header, ModelMaker",
                      "HeadingLevel": 1,
                      "Name": "Other wholesale",
                      "UnNegatedName": "Other wholesale",
                      "ParentReport": {
                        "$ref": "149"
                      },
                      "Visible": true,
                      "ReportFormatName": "",
                      "IsNegatable": false,
                      "LastNameUsed": "Other wholesale"
                    },
                    {
                      "$id": "167",
                      "$type": "ModelMaker.ReportLine, ModelMaker",
                      "AssociatedSchematicNode": {
                        "$id": "168",
                        "$type": "ModelMaker.VariableNode, ModelMaker",
                        "RowTotalDependent": null,
                        "PutCalculationOnReport": false,
                        "CalculateOnThisReport": null,
                        "PivotTableLink": null,
                        "ExcelNameName": "Wholesale_reconciliation_items",
                        "ExcelNameNames": {
                          "$type": "ModelMakerEngine.ExcelNameDictionary, ModelMakerEngine",
                          "$values": []
                        },
                        "NumberFormatOverride": null,
                        "HasOpeningBalanceFlag": false,
                        "OpeningBalanceFlagAppliedName": "",
                        "Deletable": true,
                        "Comment": "",
                        "HasSwitchSignLine": false,
                        "SwitchSignForReport": false,
                        "MultipleInputValues": null,
                        "NonPrimaryInput": false,
                        "Max": "NaN",
                        "Min": "NaN",
                        "IsBalanceButNotCorkscrew": false,
                        "IsEditable": true,
                        "IsConstant": false,
                        "UniqueID": "464cced7-13f3-480a-9abb-3b8c1e99f483",
                        "Dimensions": {
                          "$type": "ModelMakerEngine.MMDimensions, ModelMakerEngine",
                          "$values": []
                        },
                        "EquationOBXInternal": "[Pre-adjustment wholesale reconciliation] * [Adjustment factor]",
                        "NameOfGroup": "Unallocated",
                        "EquationToParse": "[Pre-adjustment wholesale reconciliation] * [Adjustment factor]",
                        "MostRecentExpectedUnitErrors": null,
                        "Units": {
                          "$id": "169",
                          "$type": "ModelMaker.Unit, ModelMaker",
                          "NumberFormatOverride": null,
                          "MatchAnything": false,
                          "ExternalRepresentation": "£ / customer",
                          "ItemsOnTop": {
                            "$type": "System.Collections.Generic.List`1[[System.String, mscorlib]], mscorlib",
                            "$values": [
                              "£"
                            ]
                          },
                          "ItemsOnBottom": {
                            "$type": "System.Collections.Generic.List`1[[System.String, mscorlib]], mscorlib",
                            "$values": [
                              "CUSTOMER"
                            ]
                          },
                          "IsCurrency": true,
                          "ContainsSMU": false,
                          "IsDimensionless": false,
                          "InsertRowTotal": true,
                          "IgnoreWhenDeterminingExpectedUnits": false
                        },
                        "Name": "Wholesale reconciliation items",
                        "ReportLines": {
                          "$type": "ModelMaker.UndoableCollection`1[[ModelMakerEngine.IReportLine, ModelMakerEngine]], ModelMaker.Undo",
                          "$values": [
                            {
                              "$ref": "167"
                            }
                          ]
                        },
                        "IsOpeningBalance": false,
                        "ExternalLinks": {
                          "$type": "UINext.Collections.DeepObservableCollection`1[[ExternalLinks.IExternalDataLink, ExternalLinks]], UINext",
                          "$values": []
                        },
                        "HasUnits": true,
                        "UnitsValid": true,
                        "UnitsErrorMessage": "",
                        "IgnoreUnitIssues": false,
                        "IsPlaceholder": false,
                        "StandardName": 0,
                        "IsStandardNode": false,
                        "WarnMessage": null,
                        "StandardDescription": null,
                        "HasStandardDescription": false,
                        "HasStandardName": false,
                        "OptimisationNodePair": null,
                        "IsOptimisationNode": false,
                        "Actuals": null,
                        "UDFCode": null,
                        "AssociatedOptimisationNodes": null,
                        "CustomNamedRange": null,
                        "IsRowTotal": false,
                        "YPosition": 2,
                        "Parent": {
                          "$ref": "1"
                        },
                        "Visible": true,
                        "Font": null,
                        "AllowIncomingLinks": true,
                        "AllowOutgoingLinks": true,
                        "IncomingLinks": {
                          "$type": "System.Collections.ObjectModel.Collection`1[[ModelMaker.MMLink, ModelMaker]], mscorlib",
                          "$values": []
                        },
                        "OutgoingLinks": {
                          "$type": "System.Collections.ObjectModel.Collection`1[[ModelMaker.MMLink, ModelMaker]], mscorlib",
                          "$values": []
                        },
                        "Issues": null
                      },
                      "OpeningBalanceFlagAppliedName": "",
                      "SumOfAboveIncludesPreviousTotal": false,
                      "LastNameUsed": null,
                      "SwitchSignForReport": false,
                      "IsSumOfAbove": false,
                      "ParentReport": {
                        "$ref": "149"
                      },
                      "HeadingLevel": 0,
                      "ReportFormatName": null,
                      "YPosition": -1,
                      "Visible": true,
                      "Font": null,
                      "AllowIncomingLinks": true,
                      "AllowOutgoingLinks": true,
                      "Deletable": true,
                      "Issues": null
                    },
                    {
                      "$id": "170",
                      "$type": "ModelMaker.ReportLine, ModelMaker",
                      "AssociatedSchematicNode": {
                        "$id": "171",
                        "$type": "ModelMaker.VariableNode, ModelMaker",
                        "RowTotalDependent": null,
                        "PutCalculationOnReport": false,
                        "CalculateOnThisReport": null,
                        "PivotTableLink": null,
                        "ExcelNameName": "Other_wholesale_items",
                        "ExcelNameNames": {
                          "$type": "ModelMakerEngine.ExcelNameDictionary, ModelMakerEngine",
                          "$values": []
                        },
                        "NumberFormatOverride": null,
                        "HasOpeningBalanceFlag": false,
                        "OpeningBalanceFlagAppliedName": "",
                        "Deletable": true,
                        "Comment": "",
                        "HasSwitchSignLine": false,
                        "SwitchSignForReport": false,
                        "MultipleInputValues": null,
                        "NonPrimaryInput": false,
                        "Max": "NaN",
                        "Min": "NaN",
                        "IsBalanceButNotCorkscrew": false,
                        "IsEditable": true,
                        "IsConstant": false,
                        "UniqueID": "b73f33d4-a84c-4f66-93f0-61d5715af57c",
                        "Dimensions": {
                          "$type": "ModelMakerEngine.MMDimensions, ModelMakerEngine",
                          "$values": []
                        },
                        "EquationOBXInternal": "[Pension deficit repair allowance] + [Tax] + [Revenue profiling] + [Other]",
                        "NameOfGroup": "Unallocated",
                        "EquationToParse": "[Pension deficit repair allowance] + [Tax] + [Revenue profiling] + [Other]",
                        "MostRecentExpectedUnitErrors": null,
                        "Units": {
                          "$id": "172",
                          "$type": "ModelMaker.Unit, ModelMaker",
                          "NumberFormatOverride": null,
                          "MatchAnything": false,
                          "ExternalRepresentation": "£ / customer",
                          "ItemsOnTop": {
                            "$type": "System.Collections.Generic.List`1[[System.String, mscorlib]], mscorlib",
                            "$values": [
                              "£"
                            ]
                          },
                          "ItemsOnBottom": {
                            "$type": "System.Collections.Generic.List`1[[System.String, mscorlib]], mscorlib",
                            "$values": [
                              "CUSTOMER"
                            ]
                          },
                          "IsCurrency": true,
                          "ContainsSMU": false,
                          "IsDimensionless": false,
                          "InsertRowTotal": true,
                          "IgnoreWhenDeterminingExpectedUnits": false
                        },
                        "Name": "Other wholesale items",
                        "ReportLines": {
                          "$type": "ModelMaker.UndoableCollection`1[[ModelMakerEngine.IReportLine, ModelMakerEngine]], ModelMaker.Undo",
                          "$values": [
                            {
                              "$ref": "170"
                            }
                          ]
                        },
                        "IsOpeningBalance": false,
                        "ExternalLinks": {
                          "$type": "UINext.Collections.DeepObservableCollection`1[[ExternalLinks.IExternalDataLink, ExternalLinks]], UINext",
                          "$values": []
                        },
                        "HasUnits": true,
                        "UnitsValid": true,
                        "UnitsErrorMessage": "",
                        "IgnoreUnitIssues": false,
                        "IsPlaceholder": false,
                        "StandardName": 0,
                        "IsStandardNode": false,
                        "WarnMessage": null,
                        "StandardDescription": null,
                        "HasStandardDescription": false,
                        "HasStandardName": false,
                        "OptimisationNodePair": null,
                        "IsOptimisationNode": false,
                        "Actuals": null,
                        "UDFCode": null,
                        "AssociatedOptimisationNodes": null,
                        "CustomNamedRange": null,
                        "IsRowTotal": false,
                        "YPosition": 0,
                        "Parent": {
                          "$ref": "1"
                        },
                        "Visible": true,
                        "Font": null,
                        "AllowIncomingLinks": true,
                        "AllowOutgoingLinks": true,
                        "IncomingLinks": {
                          "$type": "System.Collections.ObjectModel.Collection`1[[ModelMaker.MMLink, ModelMaker]], mscorlib",
                          "$values": []
                        },
                        "OutgoingLinks": {
                          "$type": "System.Collections.ObjectModel.Collection`1[[ModelMaker.MMLink, ModelMaker]], mscorlib",
                          "$values": []
                        },
                        "Issues": null
                      },
                      "OpeningBalanceFlagAppliedName": "",
                      "SumOfAboveIncludesPreviousTotal": false,
                      "LastNameUsed": null,
                      "SwitchSignForReport": false,
                      "IsSumOfAbove": false,
                      "ParentReport": {
                        "$ref": "149"
                      },
                      "HeadingLevel": 0,
                      "ReportFormatName": null,
                      "YPosition": -1,
                      "Visible": true,
                      "Font": null,
                      "AllowIncomingLinks": true,
                      "AllowOutgoingLinks": true,
                      "Deletable": true,
                      "Issues": null
                    },
                    {
                      "$id": "173",
                      "$type": "ModelMaker.Header, ModelMaker",
                      "HeadingLevel": 1,
                      "Name": "Retail",
                      "UnNegatedName": "Retail",
                      "ParentReport": {
                        "$ref": "149"
                      },
                      "Visible": true,
                      "ReportFormatName": "",
                      "IsNegatable": false,
                      "LastNameUsed": "Retail"
                    },
                    {
                      "$id": "174",
                      "$type": "ModelMaker.ReportLine, ModelMaker",
                      "AssociatedSchematicNode": {
                        "$id": "175",
                        "$type": "ModelMaker.VariableNode, ModelMaker",
                        "RowTotalDependent": null,
                        "PutCalculationOnReport": false,
                        "CalculateOnThisReport": null,
                        "PivotTableLink": null,
                        "ExcelNameName": "Retail_cost_to_serve",
                        "ExcelNameNames": {
                          "$type": "ModelMakerEngine.ExcelNameDictionary, ModelMakerEngine",
                          "$values": []
                        },
                        "NumberFormatOverride": null,
                        "HasOpeningBalanceFlag": false,
                        "OpeningBalanceFlagAppliedName": "",
                        "Deletable": true,
                        "Comment": "",
                        "HasSwitchSignLine": false,
                        "SwitchSignForReport": false,
                        "MultipleInputValues": null,
                        "NonPrimaryInput": false,
                        "Max": "NaN",
                        "Min": "NaN",
                        "IsBalanceButNotCorkscrew": false,
                        "IsEditable": true,
                        "IsConstant": false,
                        "UniqueID": "08dd5bda-f63a-4165-909a-81417b548039",
                        "Dimensions": {
                          "$type": "ModelMakerEngine.MMDimensions, ModelMakerEngine",
                          "$values": []
                        },
                        "EquationOBXInternal": "[Retail revenue per customer PR24] - [Retail revenue per customer PR19]",
                        "NameOfGroup": "Cost to serve",
                        "EquationToParse": "[Retail revenue per customer PR24] - [Retail revenue per customer PR19]",
                        "MostRecentExpectedUnitErrors": null,
                        "Units": {
                          "$id": "176",
                          "$type": "ModelMaker.Unit, ModelMaker",
                          "NumberFormatOverride": null,
                          "MatchAnything": false,
                          "ExternalRepresentation": "£ / customer",
                          "ItemsOnTop": {
                            "$type": "System.Collections.Generic.List`1[[System.String, mscorlib]], mscorlib",
                            "$values": [
                              "£"
                            ]
                          },
                          "ItemsOnBottom": {
                            "$type": "System.Collections.Generic.List`1[[System.String, mscorlib]], mscorlib",
                            "$values": [
                              "CUSTOMER"
                            ]
                          },
                          "IsCurrency": true,
                          "ContainsSMU": false,
                          "IsDimensionless": false,
                          "InsertRowTotal": true,
                          "IgnoreWhenDeterminingExpectedUnits": false
                        },
                        "Name": "Retail cost to serve",
                        "ReportLines": {
                          "$type": "ModelMaker.UndoableCollection`1[[ModelMakerEngine.IReportLine, ModelMakerEngine]], ModelMaker.Undo",
                          "$values": [
                            {
                              "$ref": "174"
                            }
                          ]
                        },
                        "IsOpeningBalance": false,
                        "ExternalLinks": {
                          "$type": "UINext.Collections.DeepObservableCollection`1[[ExternalLinks.IExternalDataLink, ExternalLinks]], UINext",
                          "$values": []
                        },
                        "HasUnits": true,
                        "UnitsValid": true,
                        "UnitsErrorMessage": "",
                        "IgnoreUnitIssues": false,
                        "IsPlaceholder": false,
                        "StandardName": 0,
                        "IsStandardNode": false,
                        "WarnMessage": null,
                        "StandardDescription": null,
                        "HasStandardDescription": false,
                        "HasStandardName": false,
                        "OptimisationNodePair": null,
                        "IsOptimisationNode": false,
                        "Actuals": null,
                        "UDFCode": null,
                        "AssociatedOptimisationNodes": null,
                        "CustomNamedRange": null,
                        "IsRowTotal": false,
                        "YPosition": 4,
                        "Parent": {
                          "$ref": "1"
                        },
                        "Visible": true,
                        "Font": null,
                        "AllowIncomingLinks": true,
                        "AllowOutgoingLinks": true,
                        "IncomingLinks": {
                          "$type": "System.Collections.ObjectModel.Collection`1[[ModelMaker.MMLink, ModelMaker]], mscorlib",
                          "$values": []
                        },
                        "OutgoingLinks": {
                          "$type": "System.Collections.ObjectModel.Collection`1[[ModelMaker.MMLink, ModelMaker]], mscorlib",
                          "$values": []
                        },
                        "Issues": null
                      },
                      "OpeningBalanceFlagAppliedName": "",
                      "SumOfAboveIncludesPreviousTotal": false,
                      "LastNameUsed": null,
                      "SwitchSignForReport": false,
                      "IsSumOfAbove": false,
                      "ParentReport": {
                        "$ref": "149"
                      },
                      "HeadingLevel": 0,
                      "ReportFormatName": null,
                      "YPosition": -1,
                      "Visible": true,
                      "Font": null,
                      "AllowIncomingLinks": true,
                      "AllowOutgoingLinks": true,
                      "Deletable": true,
                      "Issues": null
                    },
                    {
                      "$id": "177",
                      "$type": "ModelMaker.ReportLine, ModelMaker",
                      "AssociatedSchematicNode": {
                        "$id": "178",
                        "$type": "ModelMaker.VariableNode, ModelMaker",
                        "RowTotalDependent": null,
                        "PutCalculationOnReport": false,
                        "CalculateOnThisReport": null,
                        "PivotTableLink": null,
                        "ExcelNameName": "Customer_numbers___retail_apportionment",
                        "ExcelNameNames": {
                          "$type": "ModelMakerEngine.ExcelNameDictionary, ModelMakerEngine",
                          "$values": []
                        },
                        "NumberFormatOverride": null,
                        "HasOpeningBalanceFlag": false,
                        "OpeningBalanceFlagAppliedName": "",
                        "Deletable": true,
                        "Comment": "",
                        "HasSwitchSignLine": false,
                        "SwitchSignForReport": false,
                        "MultipleInputValues": null,
                        "NonPrimaryInput": false,
                        "Max": "NaN",
                        "Min": "NaN",
                        "IsBalanceButNotCorkscrew": false,
                        "IsEditable": true,
                        "IsConstant": false,
                        "UniqueID": "42c65379-620f-4890-aa4c-baabae6f6bf3",
                        "Dimensions": {
                          "$type": "ModelMakerEngine.MMDimensions, ModelMakerEngine",
                          "$values": []
                        },
                        "EquationOBXInternal": "[Total wholesale revenues PR24] * ([Housing apportionment per customer PR24] - [Housing apportionment per customer PR19]) * [Units in a thousand]",
                        "NameOfGroup": "Unallocated",
                        "EquationToParse": "[Total wholesale revenues PR24] * ([Housing apportionment per customer PR24] - [Housing apportionment per customer PR19]) * [Units in a thousand]",
                        "MostRecentExpectedUnitErrors": null,
                        "Units": {
                          "$id": "179",
                          "$type": "ModelMaker.Unit, ModelMaker",
                          "NumberFormatOverride": null,
                          "MatchAnything": false,
                          "ExternalRepresentation": "£ / customer",
                          "ItemsOnTop": {
                            "$type": "System.Collections.Generic.List`1[[System.String, mscorlib]], mscorlib",
                            "$values": [
                              "£"
                            ]
                          },
                          "ItemsOnBottom": {
                            "$type": "System.Collections.Generic.List`1[[System.String, mscorlib]], mscorlib",
                            "$values": [
                              "CUSTOMER"
                            ]
                          },
                          "IsCurrency": true,
                          "ContainsSMU": false,
                          "IsDimensionless": false,
                          "InsertRowTotal": true,
                          "IgnoreWhenDeterminingExpectedUnits": false
                        },
                        "Name": "Customer numbers & retail apportionment",
                        "ReportLines": {
                          "$type": "ModelMaker.UndoableCollection`1[[ModelMakerEngine.IReportLine, ModelMakerEngine]], ModelMaker.Undo",
                          "$values": [
                            {
                              "$ref": "177"
                            }
                          ]
                        },
                        "IsOpeningBalance": false,
                        "ExternalLinks": {
                          "$type": "UINext.Collections.DeepObservableCollection`1[[ExternalLinks.IExternalDataLink, ExternalLinks]], UINext",
                          "$values": []
                        },
                        "HasUnits": true,
                        "UnitsValid": false,
                        "UnitsErrorMessage": "Units should be £M * UNITS/CUSTOMER,  but they are £ / customer",
                        "IgnoreUnitIssues": false,
                        "IsPlaceholder": false,
                        "StandardName": 0,
                        "IsStandardNode": false,
                        "WarnMessage": null,
                        "StandardDescription": null,
                        "HasStandardDescription": false,
                        "HasStandardName": false,
                        "OptimisationNodePair": null,
                        "IsOptimisationNode": false,
                        "Actuals": null,
                        "UDFCode": null,
                        "AssociatedOptimisationNodes": null,
                        "CustomNamedRange": null,
                        "IsRowTotal": false,
                        "YPosition": 2,
                        "Parent": {
                          "$ref": "1"
                        },
                        "Visible": true,
                        "Font": null,
                        "AllowIncomingLinks": true,
                        "AllowOutgoingLinks": true,
                        "IncomingLinks": {
                          "$type": "System.Collections.ObjectModel.Collection`1[[ModelMaker.MMLink, ModelMaker]], mscorlib",
                          "$values": []
                        },
                        "OutgoingLinks": {
                          "$type": "System.Collections.ObjectModel.Collection`1[[ModelMaker.MMLink, ModelMaker]], mscorlib",
                          "$values": []
                        },
                        "Issues": null
                      },
                      "OpeningBalanceFlagAppliedName": "",
                      "SumOfAboveIncludesPreviousTotal": false,
                      "LastNameUsed": null,
                      "SwitchSignForReport": false,
                      "IsSumOfAbove": false,
                      "ParentReport": {
                        "$ref": "149"
                      },
                      "HeadingLevel": 0,
                      "ReportFormatName": null,
                      "YPosition": -1,
                      "Visible": true,
                      "Font": null,
                      "AllowIncomingLinks": true,
                      "AllowOutgoingLinks": true,
                      "Deletable": true,
                      "Issues": null
                    }
                  ]
                },
                "AllowIncomingLinks": false,
                "AllowOutgoingLinks": false,
                "YPosition": -1,
                "Name": "Total bill impacts",
                "Parent": {
                  "$ref": "1"
                },
                "Visible": true,
                "ToolTip": "",
                "OpeningBalanceFlagAppliedName": "",
                "Font": null,
                "IncomingLinks": {
                  "$type": "System.Collections.ObjectModel.Collection`1[[ModelMaker.MMLink, ModelMaker]], mscorlib",
                  "$values": []
                },
                "OutgoingLinks": {
                  "$type": "System.Collections.ObjectModel.Collection`1[[ModelMaker.MMLink, ModelMaker]], mscorlib",
                  "$values": []
                },
                "Deletable": true,
                "Issues": null
              },
              "HeadingLevel": 0,
              "ReportFormatName": null,
              "YPosition": -1,
              "Visible": true,
              "Font": null,
              "AllowIncomingLinks": true,
              "AllowOutgoingLinks": true,
              "Deletable": true,
              "Issues": null
            }
          ]
        },
        "IsOpeningBalance": false,
        "ExternalLinks": {
          "$type": "UINext.Collections.DeepObservableCollection`1[[ExternalLinks.IExternalDataLink, ExternalLinks]], UINext",
          "$values": []
        },
        "HasUnits": true,
        "UnitsValid": true,
        "UnitsErrorMessage": "",
        "IgnoreUnitIssues": false,
        "IsPlaceholder": false,
        "StandardName": 0,
        "IsStandardNode": false,
        "WarnMessage": null,
        "StandardDescription": null,
        "HasStandardDescription": false,
        "HasStandardName": false,
        "OptimisationNodePair": null,
        "IsOptimisationNode": false,
        "Actuals": null,
        "UDFCode": null,
        "AssociatedOptimisationNodes": null,
        "CustomNamedRange": null,
        "IsRowTotal": false,
        "YPosition": 13,
        "Parent": {
          "$ref": "1"
        },
        "Visible": true,
        "Font": null,
        "AllowIncomingLinks": true,
        "AllowOutgoingLinks": tru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Issues": null
      },
      {
        "$ref": "157"
      },
      {
        "$ref": "160"
      },
      {
        "$ref": "164"
      },
      {
        "$ref": "171"
      },
      {
        "$ref": "168"
      },
      {
        "$ref": "178"
      },
      {
        "$id": "180",
        "$type": "ModelMaker.VariableNode, ModelMaker",
        "RowTotalDependent": null,
        "PutCalculationOnReport": false,
        "CalculateOnThisReport": null,
        "PivotTableLink": null,
        "ExcelNameName": "Retail_revenue_per_customer_PR19",
        "ExcelNameNames": {
          "$type": "ModelMakerEngine.ExcelNameDictionary, ModelMakerEngine",
          "$values": []
        },
        "NumberFormatOverride": null,
        "HasOpeningBalanceFlag": false,
        "OpeningBalanceFlagAppliedName": "",
        "Deletable": true,
        "Comment": "",
        "HasSwitchSignLine": false,
        "SwitchSignForReport": false,
        "MultipleInputValues": null,
        "NonPrimaryInput": false,
        "Max": "NaN",
        "Min": "NaN",
        "IsBalanceButNotCorkscrew": false,
        "IsEditable": true,
        "IsConstant": false,
        "UniqueID": "f5d85fd4-e686-48c7-809b-ec0a5811a2d1",
        "Dimensions": {
          "$type": "ModelMakerEngine.MMDimensions, ModelMakerEngine",
          "$values": []
        },
        "EquationOBXInternal": "[Total retail revenue PR19]/[Total number of households PR19] * [Units in a thousand]",
        "NameOfGroup": "Cost to serve",
        "EquationToParse": "[Total retail revenue PR19]/[Total number of households PR19] * [Units in a thousand]",
        "MostRecentExpectedUnitErrors": null,
        "Units": {
          "$id": "181",
          "$type": "ModelMaker.Unit, ModelMaker",
          "NumberFormatOverride": null,
          "MatchAnything": false,
          "ExternalRepresentation": "£ / customer",
          "ItemsOnTop": {
            "$type": "System.Collections.Generic.List`1[[System.String, mscorlib]], mscorlib",
            "$values": [
              "£"
            ]
          },
          "ItemsOnBottom": {
            "$type": "System.Collections.Generic.List`1[[System.String, mscorlib]], mscorlib",
            "$values": [
              "CUSTOMER"
            ]
          },
          "IsCurrency": true,
          "ContainsSMU": false,
          "IsDimensionless": false,
          "InsertRowTotal": true,
          "IgnoreWhenDeterminingExpectedUnits": false
        },
        "Name": "Retail revenue per customer PR19",
        "ReportLines": {
          "$type": "ModelMaker.UndoableCollection`1[[ModelMakerEngine.IReportLine, ModelMakerEngine]], ModelMaker.Undo",
          "$values": []
        },
        "IsOpeningBalance": false,
        "ExternalLinks": {
          "$type": "UINext.Collections.DeepObservableCollection`1[[ExternalLinks.IExternalDataLink, ExternalLinks]], UINext",
          "$values": []
        },
        "HasUnits": true,
        "UnitsValid": false,
        "UnitsErrorMessage": "Units should be £M * UNITS/000 CUSTOMERS,  but they are £ / customer",
        "IgnoreUnitIssues": false,
        "IsPlaceholder": false,
        "StandardName": 0,
        "IsStandardNode": false,
        "WarnMessage": null,
        "StandardDescription": null,
        "HasStandardDescription": false,
        "HasStandardName": false,
        "OptimisationNodePair": null,
        "IsOptimisationNode": false,
        "Actuals": null,
        "UDFCode": null,
        "AssociatedOptimisationNodes": null,
        "CustomNamedRange": null,
        "IsRowTotal": false,
        "YPosition": 2,
        "Parent": {
          "$ref": "1"
        },
        "Visible": true,
        "Font": null,
        "AllowIncomingLinks": true,
        "AllowOutgoingLinks": tru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Issues": null
      },
      {
        "$id": "182",
        "$type": "ModelMaker.VariableNode, ModelMaker",
        "RowTotalDependent": null,
        "PutCalculationOnReport": false,
        "CalculateOnThisReport": null,
        "PivotTableLink": null,
        "ExcelNameName": "Retail_revenue_per_customer_PR24",
        "ExcelNameNames": {
          "$type": "ModelMakerEngine.ExcelNameDictionary, ModelMakerEngine",
          "$values": []
        },
        "NumberFormatOverride": null,
        "HasOpeningBalanceFlag": false,
        "OpeningBalanceFlagAppliedName": "",
        "Deletable": true,
        "Comment": "",
        "HasSwitchSignLine": false,
        "SwitchSignForReport": false,
        "MultipleInputValues": null,
        "NonPrimaryInput": false,
        "Max": "NaN",
        "Min": "NaN",
        "IsBalanceButNotCorkscrew": false,
        "IsEditable": true,
        "IsConstant": false,
        "UniqueID": "5f1287e4-610a-42f4-b75b-48a4d25ab2ee",
        "Dimensions": {
          "$type": "ModelMakerEngine.MMDimensions, ModelMakerEngine",
          "$values": []
        },
        "EquationOBXInternal": "[Total retail revenue PR24]/[Total number of households PR24] * [Units in a thousand]",
        "NameOfGroup": "Cost to serve",
        "EquationToParse": "[Total retail revenue PR24]/[Total number of households PR24] * [Units in a thousand]",
        "MostRecentExpectedUnitErrors": null,
        "Units": {
          "$id": "183",
          "$type": "ModelMaker.Unit, ModelMaker",
          "NumberFormatOverride": null,
          "MatchAnything": false,
          "ExternalRepresentation": "£ / customer",
          "ItemsOnTop": {
            "$type": "System.Collections.Generic.List`1[[System.String, mscorlib]], mscorlib",
            "$values": [
              "£"
            ]
          },
          "ItemsOnBottom": {
            "$type": "System.Collections.Generic.List`1[[System.String, mscorlib]], mscorlib",
            "$values": [
              "CUSTOMER"
            ]
          },
          "IsCurrency": true,
          "ContainsSMU": false,
          "IsDimensionless": false,
          "InsertRowTotal": true,
          "IgnoreWhenDeterminingExpectedUnits": false
        },
        "Name": "Retail revenue per customer PR24",
        "ReportLines": {
          "$type": "ModelMaker.UndoableCollection`1[[ModelMakerEngine.IReportLine, ModelMakerEngine]], ModelMaker.Undo",
          "$values": []
        },
        "IsOpeningBalance": false,
        "ExternalLinks": {
          "$type": "UINext.Collections.DeepObservableCollection`1[[ExternalLinks.IExternalDataLink, ExternalLinks]], UINext",
          "$values": []
        },
        "HasUnits": true,
        "UnitsValid": false,
        "UnitsErrorMessage": "Units should be £M * UNITS/000 CUSTOMERS,  but they are £ / customer",
        "IgnoreUnitIssues": false,
        "IsPlaceholder": false,
        "StandardName": 0,
        "IsStandardNode": false,
        "WarnMessage": null,
        "StandardDescription": null,
        "HasStandardDescription": false,
        "HasStandardName": false,
        "OptimisationNodePair": null,
        "IsOptimisationNode": false,
        "Actuals": null,
        "UDFCode": null,
        "AssociatedOptimisationNodes": null,
        "CustomNamedRange": null,
        "IsRowTotal": false,
        "YPosition": 3,
        "Parent": {
          "$ref": "1"
        },
        "Visible": true,
        "Font": null,
        "AllowIncomingLinks": true,
        "AllowOutgoingLinks": tru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Issues": null
      },
      {
        "$id": "184",
        "$type": "ModelMaker.GroupNode, ModelMaker",
        "TabOrHeaderColour": "",
        "Comment": "",
        "NameOfGroup": null,
        "YPosition": 0,
        "Folded": false,
        "Font": null,
        "Children": {
          "$type": "ModelMaker.GroupNodeChildCollection, ModelMaker",
          "$values": [
            {
              "$id": "185",
              "$type": "ModelMaker.VariableNode, ModelMaker",
              "RowTotalDependent": null,
              "PutCalculationOnReport": false,
              "CalculateOnThisReport": null,
              "PivotTableLink": null,
              "ExcelNameName": "Total_number_of_households_PR19",
              "ExcelNameNames": {
                "$type": "ModelMakerEngine.ExcelNameDictionary, ModelMakerEngine",
                "$values": []
              },
              "NumberFormatOverride": null,
              "HasOpeningBalanceFlag": false,
              "OpeningBalanceFlagAppliedName": "",
              "Deletable": true,
              "Comment": "",
              "HasSwitchSignLine": false,
              "SwitchSignForReport": false,
              "MultipleInputValues": null,
              "NonPrimaryInput": false,
              "Max": "NaN",
              "Min": "NaN",
              "IsBalanceButNotCorkscrew": false,
              "IsEditable": true,
              "IsConstant": false,
              "UniqueID": "dc835b65-212e-44f1-9f62-a02e565a14a9",
              "Dimensions": {
                "$type": "ModelMakerEngine.MMDimensions, ModelMakerEngine",
                "$values": []
              },
              "EquationOBXInternal": "[Number of metered households PR19] + [Number of unmetered households PR19]",
              "NameOfGroup": "Unallocated",
              "EquationToParse": "[Number of metered households PR19] + [Number of unmetered households PR19]",
              "MostRecentExpectedUnitErrors": null,
              "Units": {
                "$id": "186",
                "$type": "ModelMaker.Unit, ModelMaker",
                "NumberFormatOverride": null,
                "MatchAnything": false,
                "ExternalRepresentation": "000 customers",
                "ItemsOnTop": {
                  "$type": "System.Collections.Generic.List`1[[System.String, mscorlib]], mscorlib",
                  "$values": [
                    "000 CUSTOMERS"
                  ]
                },
                "ItemsOnBottom": {
                  "$type": "System.Collections.Generic.List`1[[System.String, mscorlib]], mscorlib",
                  "$values": []
                },
                "IsCurrency": false,
                "ContainsSMU": false,
                "IsDimensionless": false,
                "InsertRowTotal": true,
                "IgnoreWhenDeterminingExpectedUnits": false
              },
              "Name": "Total number of households PR19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true,
              "UnitsErrorMessage": "",
              "IgnoreUnitIssues": false,
              "IsPlaceholder": false,
              "StandardName": 0,
              "IsStandardNode": false,
              "WarnMessage": null,
              "StandardDescription": null,
              "HasStandardDescription": false,
              "HasStandardName": false,
              "OptimisationNodePair": null,
              "IsOptimisationNode": false,
              "Actuals": null,
              "UDFCode": null,
              "AssociatedOptimisationNodes": null,
              "CustomNamedRange": null,
              "IsRowTotal": false,
              "YPosition": 0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id": "187",
              "$type": "ModelMaker.VariableNode, ModelMaker",
              "RowTotalDependent": null,
              "PutCalculationOnReport": false,
              "CalculateOnThisReport": null,
              "PivotTableLink": null,
              "ExcelNameName": "Total_number_of_households_PR24",
              "ExcelNameNames": {
                "$type": "ModelMakerEngine.ExcelNameDictionary, ModelMakerEngine",
                "$values": []
              },
              "NumberFormatOverride": null,
              "HasOpeningBalanceFlag": false,
              "OpeningBalanceFlagAppliedName": "",
              "Deletable": true,
              "Comment": "",
              "HasSwitchSignLine": false,
              "SwitchSignForReport": false,
              "MultipleInputValues": null,
              "NonPrimaryInput": false,
              "Max": "NaN",
              "Min": "NaN",
              "IsBalanceButNotCorkscrew": false,
              "IsEditable": true,
              "IsConstant": false,
              "UniqueID": "160632c1-7efd-45d4-9afd-bf79eb6a29fe",
              "Dimensions": {
                "$type": "ModelMakerEngine.MMDimensions, ModelMakerEngine",
                "$values": []
              },
              "EquationOBXInternal": "[Number of metered households PR24] + [Number of unmetered households PR24]",
              "NameOfGroup": "Unallocated",
              "EquationToParse": "[Number of metered households PR24] + [Number of unmetered households PR24]",
              "MostRecentExpectedUnitErrors": null,
              "Units": {
                "$id": "188",
                "$type": "ModelMaker.Unit, ModelMaker",
                "NumberFormatOverride": null,
                "MatchAnything": false,
                "ExternalRepresentation": "000 customers",
                "ItemsOnTop": {
                  "$type": "System.Collections.Generic.List`1[[System.String, mscorlib]], mscorlib",
                  "$values": [
                    "000 CUSTOMERS"
                  ]
                },
                "ItemsOnBottom": {
                  "$type": "System.Collections.Generic.List`1[[System.String, mscorlib]], mscorlib",
                  "$values": []
                },
                "IsCurrency": false,
                "ContainsSMU": false,
                "IsDimensionless": false,
                "InsertRowTotal": true,
                "IgnoreWhenDeterminingExpectedUnits": false
              },
              "Name": "Total number of households PR24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true,
              "UnitsErrorMessage": "",
              "IgnoreUnitIssues": false,
              "IsPlaceholder": false,
              "StandardName": 0,
              "IsStandardNode": false,
              "WarnMessage": null,
              "StandardDescription": null,
              "HasStandardDescription": false,
              "HasStandardName": false,
              "OptimisationNodePair": null,
              "IsOptimisationNode": false,
              "Actuals": null,
              "UDFCode": null,
              "AssociatedOptimisationNodes": null,
              "CustomNamedRange": null,
              "IsRowTotal": false,
              "YPosition": 1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ref": "180"
            },
            {
              "$ref": "182"
            },
            {
              "$ref": "175"
            }
          ]
        },
        "AllowAddChildren": true,
        "AllowRemoveChildren": true,
        "IsImported": false,
        "IsChecksGroup": false,
        "IsAlertsGroup": false,
        "IsChecksAndAlertsGroup": false,
        "IsUnallocatedGroup": false,
        "IsInputsGroup": false,
        "IsFlag": false,
        "IsTimeAndFlagsGroup": false,
        "DimensionsAcross": {
          "$type": "ModelMakerEngine.MMDimensions, ModelMakerEngine",
          "$values": []
        },
        "TimeAxis": 0,
        "IndexInParent": 8,
        "Name": "Cost to serve",
        "Parent": {
          "$ref": "1"
        },
        "Visible": true,
        "ToolTip": "",
        "OpeningBalanceFlagAppliedName": "",
        "AllowIncomingLinks": false,
        "AllowOutgoingLinks": fals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true,
        "Issues": null
      },
      {
        "$ref": "84"
      },
      {
        "$ref": "185"
      },
      {
        "$ref": "86"
      },
      {
        "$ref": "187"
      },
      {
        "$ref": "75"
      },
      {
        "$ref": "77"
      },
      {
        "$ref": "79"
      },
      {
        "$ref": "81"
      },
      {
        "$ref": "175"
      },
      {
        "$ref": "35"
      },
      {
        "$id": "189",
        "$type": "ModelMaker.VariableNode, ModelMaker",
        "RowTotalDependent": null,
        "PutCalculationOnReport": false,
        "CalculateOnThisReport": null,
        "PivotTableLink": null,
        "ExcelNameName": "Housing_apportionment_per_customer_PR19",
        "ExcelNameNames": {
          "$type": "ModelMakerEngine.ExcelNameDictionary, ModelMakerEngine",
          "$values": []
        },
        "NumberFormatOverride": null,
        "HasOpeningBalanceFlag": false,
        "OpeningBalanceFlagAppliedName": "",
        "Deletable": true,
        "Comment": "",
        "HasSwitchSignLine": false,
        "SwitchSignForReport": false,
        "MultipleInputValues": null,
        "NonPrimaryInput": false,
        "Max": "NaN",
        "Min": "NaN",
        "IsBalanceButNotCorkscrew": false,
        "IsEditable": true,
        "IsConstant": false,
        "UniqueID": "72e1ffeb-c092-4ed8-a95e-6698e17c81d5",
        "Dimensions": {
          "$type": "ModelMakerEngine.MMDimensions, ModelMakerEngine",
          "$values": []
        },
        "EquationOBXInternal": "[Housing apportionment PR19] / [Total number of households PR19]",
        "NameOfGroup": "Customer number impacts",
        "EquationToParse": "[Housing apportionment PR19] / [Total number of households PR19]",
        "MostRecentExpectedUnitErrors": null,
        "Units": {
          "$id": "190",
          "$type": "ModelMaker.Unit, ModelMaker",
          "NumberFormatOverride": null,
          "MatchAnything": false,
          "ExternalRepresentation": "% / customer",
          "ItemsOnTop": {
            "$type": "System.Collections.Generic.List`1[[System.String, mscorlib]], mscorlib",
            "$values": []
          },
          "ItemsOnBottom": {
            "$type": "System.Collections.Generic.List`1[[System.String, mscorlib]], mscorlib",
            "$values": [
              "CUSTOMER"
            ]
          },
          "IsCurrency": false,
          "ContainsSMU": false,
          "IsDimensionless": false,
          "InsertRowTotal": true,
          "IgnoreWhenDeterminingExpectedUnits": false
        },
        "Name": "Housing apportionment per customer PR19",
        "ReportLines": {
          "$type": "ModelMaker.UndoableCollection`1[[ModelMakerEngine.IReportLine, ModelMakerEngine]], ModelMaker.Undo",
          "$values": []
        },
        "IsOpeningBalance": false,
        "ExternalLinks": {
          "$type": "UINext.Collections.DeepObservableCollection`1[[ExternalLinks.IExternalDataLink, ExternalLinks]], UINext",
          "$values": []
        },
        "HasUnits": true,
        "UnitsValid": false,
        "UnitsErrorMessage": "Units should be 1/000 CUSTOMERS,  but they are % / customer",
        "IgnoreUnitIssues": false,
        "IsPlaceholder": false,
        "StandardName": 0,
        "IsStandardNode": false,
        "WarnMessage": null,
        "StandardDescription": null,
        "HasStandardDescription": false,
        "HasStandardName": false,
        "OptimisationNodePair": null,
        "IsOptimisationNode": false,
        "Actuals": null,
        "UDFCode": null,
        "AssociatedOptimisationNodes": null,
        "CustomNamedRange": null,
        "IsRowTotal": false,
        "YPosition": 0,
        "Parent": {
          "$ref": "1"
        },
        "Visible": true,
        "Font": null,
        "AllowIncomingLinks": true,
        "AllowOutgoingLinks": tru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Issues": null
      },
      {
        "$id": "191",
        "$type": "ModelMaker.VariableNode, ModelMaker",
        "RowTotalDependent": null,
        "PutCalculationOnReport": false,
        "CalculateOnThisReport": null,
        "PivotTableLink": null,
        "ExcelNameName": "Housing_apportionment_per_customer_PR24",
        "ExcelNameNames": {
          "$type": "ModelMakerEngine.ExcelNameDictionary, ModelMakerEngine",
          "$values": []
        },
        "NumberFormatOverride": null,
        "HasOpeningBalanceFlag": false,
        "OpeningBalanceFlagAppliedName": "",
        "Deletable": true,
        "Comment": "",
        "HasSwitchSignLine": false,
        "SwitchSignForReport": false,
        "MultipleInputValues": null,
        "NonPrimaryInput": false,
        "Max": "NaN",
        "Min": "NaN",
        "IsBalanceButNotCorkscrew": false,
        "IsEditable": true,
        "IsConstant": false,
        "UniqueID": "fac3f247-89ea-4b96-a786-c7ae5ae2e0d9",
        "Dimensions": {
          "$type": "ModelMakerEngine.MMDimensions, ModelMakerEngine",
          "$values": []
        },
        "EquationOBXInternal": "[Housing apportionment PR24] / [Total number of households PR24]",
        "NameOfGroup": "Customer number impacts",
        "EquationToParse": "[Housing apportionment PR24] / [Total number of households PR24]",
        "MostRecentExpectedUnitErrors": null,
        "Units": {
          "$id": "192",
          "$type": "ModelMaker.Unit, ModelMaker",
          "NumberFormatOverride": null,
          "MatchAnything": false,
          "ExternalRepresentation": "% / customer",
          "ItemsOnTop": {
            "$type": "System.Collections.Generic.List`1[[System.String, mscorlib]], mscorlib",
            "$values": []
          },
          "ItemsOnBottom": {
            "$type": "System.Collections.Generic.List`1[[System.String, mscorlib]], mscorlib",
            "$values": [
              "CUSTOMER"
            ]
          },
          "IsCurrency": false,
          "ContainsSMU": false,
          "IsDimensionless": false,
          "InsertRowTotal": true,
          "IgnoreWhenDeterminingExpectedUnits": false
        },
        "Name": "Housing apportionment per customer PR24",
        "ReportLines": {
          "$type": "ModelMaker.UndoableCollection`1[[ModelMakerEngine.IReportLine, ModelMakerEngine]], ModelMaker.Undo",
          "$values": []
        },
        "IsOpeningBalance": false,
        "ExternalLinks": {
          "$type": "UINext.Collections.DeepObservableCollection`1[[ExternalLinks.IExternalDataLink, ExternalLinks]], UINext",
          "$values": []
        },
        "HasUnits": true,
        "UnitsValid": false,
        "UnitsErrorMessage": "Units should be 1/000 CUSTOMERS,  but they are % / customer",
        "IgnoreUnitIssues": false,
        "IsPlaceholder": false,
        "StandardName": 0,
        "IsStandardNode": false,
        "WarnMessage": null,
        "StandardDescription": null,
        "HasStandardDescription": false,
        "HasStandardName": false,
        "OptimisationNodePair": null,
        "IsOptimisationNode": false,
        "Actuals": null,
        "UDFCode": null,
        "AssociatedOptimisationNodes": null,
        "CustomNamedRange": null,
        "IsRowTotal": false,
        "YPosition": 1,
        "Parent": {
          "$ref": "1"
        },
        "Visible": true,
        "Font": null,
        "AllowIncomingLinks": true,
        "AllowOutgoingLinks": tru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Issues": null
      },
      {
        "$id": "193",
        "$type": "ModelMaker.GroupNode, ModelMaker",
        "TabOrHeaderColour": "",
        "Comment": "",
        "NameOfGroup": null,
        "YPosition": 0,
        "Folded": false,
        "Font": null,
        "Children": {
          "$type": "ModelMaker.GroupNodeChildCollection, ModelMaker",
          "$values": [
            {
              "$ref": "189"
            },
            {
              "$ref": "191"
            },
            {
              "$ref": "178"
            }
          ]
        },
        "AllowAddChildren": true,
        "AllowRemoveChildren": true,
        "IsImported": false,
        "IsChecksGroup": false,
        "IsAlertsGroup": false,
        "IsChecksAndAlertsGroup": false,
        "IsUnallocatedGroup": false,
        "IsInputsGroup": false,
        "IsFlag": false,
        "IsTimeAndFlagsGroup": false,
        "DimensionsAcross": {
          "$type": "ModelMakerEngine.MMDimensions, ModelMakerEngine",
          "$values": []
        },
        "TimeAxis": 0,
        "IndexInParent": 9,
        "Name": "Customer number impacts",
        "Parent": {
          "$ref": "1"
        },
        "Visible": true,
        "ToolTip": "",
        "OpeningBalanceFlagAppliedName": "",
        "AllowIncomingLinks": false,
        "AllowOutgoingLinks": fals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true,
        "Issues": null
      },
      {
        "$ref": "73"
      },
      {
        "$ref": "71"
      },
      {
        "$id": "194",
        "$type": "ModelMaker.GroupNode, ModelMaker",
        "TabOrHeaderColour": "",
        "Comment": "",
        "NameOfGroup": "Model Checks and Alerts",
        "YPosition": 0,
        "Folded": false,
        "Font": null,
        "Children": {
          "$type": "ModelMaker.GroupNodeChildCollection, ModelMaker",
          "$values": []
        },
        "AllowAddChildren": true,
        "AllowRemoveChildren": true,
        "IsImported": false,
        "IsChecksGroup": true,
        "IsAlertsGroup": false,
        "IsChecksAndAlertsGroup": false,
        "IsUnallocatedGroup": false,
        "IsInputsGroup": false,
        "IsFlag": false,
        "IsTimeAndFlagsGroup": false,
        "DimensionsAcross": {
          "$type": "ModelMakerEngine.MMDimensions, ModelMakerEngine",
          "$values": []
        },
        "TimeAxis": 0,
        "IndexInParent": -1,
        "Name": "Model Checks",
        "Parent": {
          "$ref": "1"
        },
        "Visible": true,
        "ToolTip": "",
        "OpeningBalanceFlagAppliedName": "",
        "AllowIncomingLinks": false,
        "AllowOutgoingLinks": fals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false,
        "Issues": null
      },
      {
        "$id": "195",
        "$type": "ModelMaker.GroupNode, ModelMaker",
        "TabOrHeaderColour": "",
        "Comment": "",
        "NameOfGroup": "Model Checks and Alerts",
        "YPosition": 1,
        "Folded": false,
        "Font": null,
        "Children": {
          "$type": "ModelMaker.GroupNodeChildCollection, ModelMaker",
          "$values": []
        },
        "AllowAddChildren": true,
        "AllowRemoveChildren": true,
        "IsImported": false,
        "IsChecksGroup": false,
        "IsAlertsGroup": true,
        "IsChecksAndAlertsGroup": false,
        "IsUnallocatedGroup": false,
        "IsInputsGroup": false,
        "IsFlag": false,
        "IsTimeAndFlagsGroup": false,
        "DimensionsAcross": {
          "$type": "ModelMakerEngine.MMDimensions, ModelMakerEngine",
          "$values": []
        },
        "TimeAxis": 0,
        "IndexInParent": -1,
        "Name": "Model Alerts",
        "Parent": {
          "$ref": "1"
        },
        "Visible": true,
        "ToolTip": "",
        "OpeningBalanceFlagAppliedName": "",
        "AllowIncomingLinks": false,
        "AllowOutgoingLinks": fals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false,
        "Issues": null
      },
      {
        "$id": "196",
        "$type": "ModelMaker.GroupNode, ModelMaker",
        "TabOrHeaderColour": "",
        "Comment": "",
        "NameOfGroup": null,
        "YPosition": 0,
        "Folded": false,
        "Font": null,
        "Children": {
          "$type": "ModelMaker.GroupNodeChildCollection, ModelMaker",
          "$values": [
            {
              "$ref": "194"
            },
            {
              "$ref": "195"
            }
          ]
        },
        "AllowAddChildren": true,
        "AllowRemoveChildren": true,
        "IsImported": false,
        "IsChecksGroup": false,
        "IsAlertsGroup": false,
        "IsChecksAndAlertsGroup": true,
        "IsUnallocatedGroup": false,
        "IsInputsGroup": false,
        "IsFlag": false,
        "IsTimeAndFlagsGroup": false,
        "DimensionsAcross": {
          "$type": "ModelMakerEngine.MMDimensions, ModelMakerEngine",
          "$values": []
        },
        "TimeAxis": 0,
        "IndexInParent": 11,
        "Name": "Model Checks and Alerts",
        "Parent": {
          "$ref": "1"
        },
        "Visible": true,
        "ToolTip": "",
        "OpeningBalanceFlagAppliedName": "",
        "AllowIncomingLinks": false,
        "AllowOutgoingLinks": fals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false,
        "Issues": null
      },
      {
        "$id": "197",
        "$type": "ModelMaker.VariableNode, ModelMaker",
        "RowTotalDependent": null,
        "PutCalculationOnReport": false,
        "CalculateOnThisReport": null,
        "PivotTableLink": null,
        "ExcelNameName": "Pre_adjustment_wholesale_reconciliation",
        "ExcelNameNames": {
          "$type": "ModelMakerEngine.ExcelNameDictionary, ModelMakerEngine",
          "$values": []
        },
        "NumberFormatOverride": null,
        "HasOpeningBalanceFlag": false,
        "OpeningBalanceFlagAppliedName": "",
        "Deletable": true,
        "Comment": "",
        "HasSwitchSignLine": false,
        "SwitchSignForReport": false,
        "MultipleInputValues": null,
        "NonPrimaryInput": false,
        "Max": "NaN",
        "Min": "NaN",
        "IsBalanceButNotCorkscrew": false,
        "IsEditable": true,
        "IsConstant": false,
        "UniqueID": "d42ce7c2-9fb9-4b30-9bae-2d2e3b6bbc5a",
        "Dimensions": {
          "$type": "ModelMakerEngine.MMDimensions, ModelMakerEngine",
          "$values": []
        },
        "EquationOBXInternal": "([Post financeability adjustment PR24] - [Post financeability adjustment PR19])/[Total number of households PR24] * [Units in a thousand]",
        "NameOfGroup": "Wholesale reconciliation",
        "EquationToParse": "([Post financeability adjustment PR24] - [Post financeability adjustment PR19])/[Total number of households PR24] * [Units in a thousand]",
        "MostRecentExpectedUnitErrors": null,
        "Units": {
          "$id": "198",
          "$type": "ModelMaker.Unit, ModelMaker",
          "NumberFormatOverride": null,
          "MatchAnything": false,
          "ExternalRepresentation": "£ / customer",
          "ItemsOnTop": {
            "$type": "System.Collections.Generic.List`1[[System.String, mscorlib]], mscorlib",
            "$values": [
              "£"
            ]
          },
          "ItemsOnBottom": {
            "$type": "System.Collections.Generic.List`1[[System.String, mscorlib]], mscorlib",
            "$values": [
              "CUSTOMER"
            ]
          },
          "IsCurrency": true,
          "ContainsSMU": false,
          "IsDimensionless": false,
          "InsertRowTotal": true,
          "IgnoreWhenDeterminingExpectedUnits": false
        },
        "Name": "Pre-adjustment wholesale reconciliation",
        "ReportLines": {
          "$type": "ModelMaker.UndoableCollection`1[[ModelMakerEngine.IReportLine, ModelMakerEngine]], ModelMaker.Undo",
          "$values": []
        },
        "IsOpeningBalance": false,
        "ExternalLinks": {
          "$type": "UINext.Collections.DeepObservableCollection`1[[ExternalLinks.IExternalDataLink, ExternalLinks]], UINext",
          "$values": []
        },
        "HasUnits": true,
        "UnitsValid": false,
        "UnitsErrorMessage": "Units should be £M * UNITS/000 CUSTOMERS,  but they are £ / customer",
        "IgnoreUnitIssues": false,
        "IsPlaceholder": false,
        "StandardName": 0,
        "IsStandardNode": false,
        "WarnMessage": null,
        "StandardDescription": null,
        "HasStandardDescription": false,
        "HasStandardName": false,
        "OptimisationNodePair": null,
        "IsOptimisationNode": false,
        "Actuals": null,
        "UDFCode": null,
        "AssociatedOptimisationNodes": null,
        "CustomNamedRange": null,
        "IsRowTotal": false,
        "YPosition": 1,
        "Parent": {
          "$ref": "1"
        },
        "Visible": true,
        "Font": null,
        "AllowIncomingLinks": true,
        "AllowOutgoingLinks": tru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Issues": null
      },
      {
        "$id": "199",
        "$type": "ModelMaker.VariableNode, ModelMaker",
        "RowTotalDependent": null,
        "PutCalculationOnReport": false,
        "CalculateOnThisReport": null,
        "PivotTableLink": null,
        "ExcelNameName": "Adjustment_factor",
        "ExcelNameNames": {
          "$type": "ModelMakerEngine.ExcelNameDictionary, ModelMakerEngine",
          "$values": []
        },
        "NumberFormatOverride": null,
        "HasOpeningBalanceFlag": false,
        "OpeningBalanceFlagAppliedName": "",
        "Deletable": true,
        "Comment": "",
        "HasSwitchSignLine": false,
        "SwitchSignForReport": false,
        "MultipleInputValues": null,
        "NonPrimaryInput": false,
        "Max": "NaN",
        "Min": "NaN",
        "IsBalanceButNotCorkscrew": false,
        "IsEditable": true,
        "IsConstant": false,
        "UniqueID": "f55ac251-a2d1-46ef-babf-3ec421b1f26b",
        "Dimensions": {
          "$type": "ModelMakerEngine.MMDimensions, ModelMakerEngine",
          "$values": []
        },
        "EquationOBXInternal": "[Wholesale bill impact]/[Profiled allowed revenues per customer]",
        "NameOfGroup": "Wholesale",
        "EquationToParse": "[Wholesale bill impact]/[Profiled allowed revenues per customer]",
        "MostRecentExpectedUnitErrors": null,
        "Units": {
          "$id": "200",
          "$type": "ModelMaker.Unit, ModelMaker",
          "NumberFormatOverride": null,
          "MatchAnything": false,
          "ExternalRepresentation": "factor",
          "ItemsOnTop": {
            "$type": "System.Collections.Generic.List`1[[System.String, mscorlib]], mscorlib",
            "$values": []
          },
          "ItemsOnBottom": {
            "$type": "System.Collections.Generic.List`1[[System.String, mscorlib]], mscorlib",
            "$values": []
          },
          "IsCurrency": false,
          "ContainsSMU": false,
          "IsDimensionless": false,
          "InsertRowTotal": true,
          "IgnoreWhenDeterminingExpectedUnits": false
        },
        "Name": "Adjustment factor",
        "ReportLines": {
          "$type": "ModelMaker.UndoableCollection`1[[ModelMakerEngine.IReportLine, ModelMakerEngine]], ModelMaker.Undo",
          "$values": []
        },
        "IsOpeningBalance": false,
        "ExternalLinks": {
          "$type": "UINext.Collections.DeepObservableCollection`1[[ExternalLinks.IExternalDataLink, ExternalLinks]], UINext",
          "$values": []
        },
        "HasUnits": true,
        "UnitsValid": true,
        "UnitsErrorMessage": "",
        "IgnoreUnitIssues": false,
        "IsPlaceholder": false,
        "StandardName": 0,
        "IsStandardNode": false,
        "WarnMessage": null,
        "StandardDescription": null,
        "HasStandardDescription": false,
        "HasStandardName": false,
        "OptimisationNodePair": null,
        "IsOptimisationNode": false,
        "Actuals": null,
        "UDFCode": null,
        "AssociatedOptimisationNodes": null,
        "CustomNamedRange": null,
        "IsRowTotal": false,
        "YPosition": 5,
        "Parent": {
          "$ref": "1"
        },
        "Visible": true,
        "Font": null,
        "AllowIncomingLinks": true,
        "AllowOutgoingLinks": tru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Issues": null
      },
      {
        "$ref": "54"
      },
      {
        "$id": "201",
        "$type": "ModelMaker.VariableNode, ModelMaker",
        "RowTotalDependent": null,
        "PutCalculationOnReport": false,
        "CalculateOnThisReport": null,
        "PivotTableLink": null,
        "ExcelNameName": "Post_financeability_adjustment_PR19",
        "ExcelNameNames": {
          "$type": "ModelMakerEngine.ExcelNameDictionary, ModelMakerEngine",
          "$values": []
        },
        "NumberFormatOverride": null,
        "HasOpeningBalanceFlag": false,
        "OpeningBalanceFlagAppliedName": "",
        "Deletable": true,
        "Comment": "",
        "HasSwitchSignLine": false,
        "SwitchSignForReport": false,
        "MultipleInputValues": null,
        "NonPrimaryInput": false,
        "Max": "NaN",
        "Min": "NaN",
        "IsBalanceButNotCorkscrew": false,
        "IsEditable": true,
        "IsConstant": false,
        "UniqueID": "54c293a6-2bed-4c51-aff8-153e443a9853",
        "Dimensions": {
          "$type": "ModelMakerEngine.MMDimensions, ModelMakerEngine",
          "$values": []
        },
        "EquationOBXInternal": "[Pre-inflation post financeability adjustment PR19] * [CPIH factor]",
        "NameOfGroup": "Wholesale reconciliation",
        "EquationToParse": "[Pre-inflation post financeability adjustment PR19] * [CPIH factor]",
        "MostRecentExpectedUnitErrors": null,
        "Units": {
          "$id": "202",
          "$type": "ModelMaker.Unit, ModelMaker",
          "NumberFormatOverride": null,
          "MatchAnything": false,
          "ExternalRepresentation": "£m",
          "ItemsOnTop": {
            "$type": "System.Collections.Generic.List`1[[System.String, mscorlib]], mscorlib",
            "$values": [
              "£M"
            ]
          },
          "ItemsOnBottom": {
            "$type": "System.Collections.Generic.List`1[[System.String, mscorlib]], mscorlib",
            "$values": []
          },
          "IsCurrency": true,
          "ContainsSMU": false,
          "IsDimensionless": false,
          "InsertRowTotal": true,
          "IgnoreWhenDeterminingExpectedUnits": false
        },
        "Name": "Post financeability adjustment PR19",
        "ReportLines": {
          "$type": "ModelMaker.UndoableCollection`1[[ModelMakerEngine.IReportLine, ModelMakerEngine]], ModelMaker.Undo",
          "$values": []
        },
        "IsOpeningBalance": false,
        "ExternalLinks": {
          "$type": "UINext.Collections.DeepObservableCollection`1[[ExternalLinks.IExternalDataLink, ExternalLinks]], UINext",
          "$values": []
        },
        "HasUnits": true,
        "UnitsValid": true,
        "UnitsErrorMessage": "",
        "IgnoreUnitIssues": false,
        "IsPlaceholder": false,
        "StandardName": 0,
        "IsStandardNode": false,
        "WarnMessage": null,
        "StandardDescription": null,
        "HasStandardDescription": false,
        "HasStandardName": false,
        "OptimisationNodePair": null,
        "IsOptimisationNode": false,
        "Actuals": null,
        "UDFCode": null,
        "AssociatedOptimisationNodes": null,
        "CustomNamedRange": null,
        "IsRowTotal": false,
        "YPosition": 0,
        "Parent": {
          "$ref": "1"
        },
        "Visible": true,
        "Font": null,
        "AllowIncomingLinks": true,
        "AllowOutgoingLinks": tru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Issues": null
      },
      {
        "$id": "203",
        "$type": "ModelMaker.GroupNode, ModelMaker",
        "TabOrHeaderColour": "",
        "Comment": "",
        "NameOfGroup": null,
        "YPosition": 0,
        "Folded": false,
        "Font": null,
        "Children": {
          "$type": "ModelMaker.GroupNodeChildCollection, ModelMaker",
          "$values": [
            {
              "$ref": "201"
            },
            {
              "$ref": "197"
            },
            {
              "$ref": "168"
            }
          ]
        },
        "AllowAddChildren": true,
        "AllowRemoveChildren": true,
        "IsImported": false,
        "IsChecksGroup": false,
        "IsAlertsGroup": false,
        "IsChecksAndAlertsGroup": false,
        "IsUnallocatedGroup": false,
        "IsInputsGroup": false,
        "IsFlag": false,
        "IsTimeAndFlagsGroup": false,
        "DimensionsAcross": {
          "$type": "ModelMakerEngine.MMDimensions, ModelMakerEngine",
          "$values": []
        },
        "TimeAxis": 0,
        "IndexInParent": 6,
        "Name": "Wholesale reconciliation",
        "Parent": {
          "$ref": "1"
        },
        "Visible": true,
        "ToolTip": "",
        "OpeningBalanceFlagAppliedName": "",
        "AllowIncomingLinks": false,
        "AllowOutgoingLinks": fals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true,
        "Issues": null
      },
      {
        "$id": "204",
        "$type": "ModelMaker.VariableNode, ModelMaker",
        "RowTotalDependent": null,
        "PutCalculationOnReport": false,
        "CalculateOnThisReport": null,
        "PivotTableLink": null,
        "ExcelNameName": "Wholesale_bill_impact",
        "ExcelNameNames": {
          "$type": "ModelMakerEngine.ExcelNameDictionary, ModelMakerEngine",
          "$values": []
        },
        "NumberFormatOverride": null,
        "HasOpeningBalanceFlag": false,
        "OpeningBalanceFlagAppliedName": "",
        "Deletable": true,
        "Comment": "",
        "HasSwitchSignLine": false,
        "SwitchSignForReport": false,
        "MultipleInputValues": null,
        "NonPrimaryInput": false,
        "Max": "NaN",
        "Min": "NaN",
        "IsBalanceButNotCorkscrew": false,
        "IsEditable": true,
        "IsConstant": false,
        "UniqueID": "9942e654-d761-4f22-a7c9-8ab738b2bc40",
        "Dimensions": {
          "$type": "ModelMakerEngine.MMDimensions, ModelMakerEngine",
          "$values": []
        },
        "EquationOBXInternal": "[Total bill impact] - [Customer numbers & retail apportionment] - [Retail cost to serve]",
        "NameOfGroup": "Wholesale",
        "EquationToParse": "[Total bill impact] - [Customer numbers & retail apportionment] - [Retail cost to serve]",
        "MostRecentExpectedUnitErrors": null,
        "Units": {
          "$id": "205",
          "$type": "ModelMaker.Unit, ModelMaker",
          "NumberFormatOverride": null,
          "MatchAnything": false,
          "ExternalRepresentation": "£ / customer",
          "ItemsOnTop": {
            "$type": "System.Collections.Generic.List`1[[System.String, mscorlib]], mscorlib",
            "$values": [
              "£"
            ]
          },
          "ItemsOnBottom": {
            "$type": "System.Collections.Generic.List`1[[System.String, mscorlib]], mscorlib",
            "$values": [
              "CUSTOMER"
            ]
          },
          "IsCurrency": true,
          "ContainsSMU": false,
          "IsDimensionless": false,
          "InsertRowTotal": true,
          "IgnoreWhenDeterminingExpectedUnits": false
        },
        "Name": "Wholesale bill impact",
        "ReportLines": {
          "$type": "ModelMaker.UndoableCollection`1[[ModelMakerEngine.IReportLine, ModelMakerEngine]], ModelMaker.Undo",
          "$values": []
        },
        "IsOpeningBalance": false,
        "ExternalLinks": {
          "$type": "UINext.Collections.DeepObservableCollection`1[[ExternalLinks.IExternalDataLink, ExternalLinks]], UINext",
          "$values": []
        },
        "HasUnits": true,
        "UnitsValid": true,
        "UnitsErrorMessage": "",
        "IgnoreUnitIssues": false,
        "IsPlaceholder": false,
        "StandardName": 0,
        "IsStandardNode": false,
        "WarnMessage": null,
        "StandardDescription": null,
        "HasStandardDescription": false,
        "HasStandardName": false,
        "OptimisationNodePair": null,
        "IsOptimisationNode": false,
        "Actuals": null,
        "UDFCode": null,
        "AssociatedOptimisationNodes": null,
        "CustomNamedRange": null,
        "IsRowTotal": false,
        "YPosition": 2,
        "Parent": {
          "$ref": "1"
        },
        "Visible": true,
        "Font": null,
        "AllowIncomingLinks": true,
        "AllowOutgoingLinks": tru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Issues": null
      },
      {
        "$id": "206",
        "$type": "ModelMaker.VariableNode, ModelMaker",
        "RowTotalDependent": null,
        "PutCalculationOnReport": false,
        "CalculateOnThisReport": null,
        "PivotTableLink": null,
        "ExcelNameName": "Profiled_allowed_revenues_per_customer",
        "ExcelNameNames": {
          "$type": "ModelMakerEngine.ExcelNameDictionary, ModelMakerEngine",
          "$values": []
        },
        "NumberFormatOverride": null,
        "HasOpeningBalanceFlag": false,
        "OpeningBalanceFlagAppliedName": "",
        "Deletable": true,
        "Comment": "",
        "HasSwitchSignLine": false,
        "SwitchSignForReport": false,
        "MultipleInputValues": null,
        "NonPrimaryInput": false,
        "Max": "NaN",
        "Min": "NaN",
        "IsBalanceButNotCorkscrew": false,
        "IsEditable": true,
        "IsConstant": false,
        "UniqueID": "1873bda0-77b4-4874-854d-3ed98b7e068c",
        "Dimensions": {
          "$type": "ModelMakerEngine.MMDimensions, ModelMakerEngine",
          "$values": []
        },
        "EquationOBXInternal": "([Final profiled allowed revenues PR24] - [Profiled allowed revenues PR19])/[Total number of households PR24] * [Units in a thousand]",
        "NameOfGroup": "Unallocated",
        "EquationToParse": "([Final profiled allowed revenues PR24] - [Profiled allowed revenues PR19])/[Total number of households PR24] * [Units in a thousand]",
        "MostRecentExpectedUnitErrors": null,
        "Units": {
          "$id": "207",
          "$type": "ModelMaker.Unit, ModelMaker",
          "NumberFormatOverride": null,
          "MatchAnything": false,
          "ExternalRepresentation": "£ / customer",
          "ItemsOnTop": {
            "$type": "System.Collections.Generic.List`1[[System.String, mscorlib]], mscorlib",
            "$values": [
              "£"
            ]
          },
          "ItemsOnBottom": {
            "$type": "System.Collections.Generic.List`1[[System.String, mscorlib]], mscorlib",
            "$values": [
              "CUSTOMER"
            ]
          },
          "IsCurrency": true,
          "ContainsSMU": false,
          "IsDimensionless": false,
          "InsertRowTotal": true,
          "IgnoreWhenDeterminingExpectedUnits": false
        },
        "Name": "Profiled allowed revenues per customer",
        "ReportLines": {
          "$type": "ModelMaker.UndoableCollection`1[[ModelMakerEngine.IReportLine, ModelMakerEngine]], ModelMaker.Undo",
          "$values": []
        },
        "IsOpeningBalance": false,
        "ExternalLinks": {
          "$type": "UINext.Collections.DeepObservableCollection`1[[ExternalLinks.IExternalDataLink, ExternalLinks]], UINext",
          "$values": []
        },
        "HasUnits": true,
        "UnitsValid": false,
        "UnitsErrorMessage": "Units should be £M * UNITS/000 CUSTOMERS,  but they are £ / customer",
        "IgnoreUnitIssues": false,
        "IsPlaceholder": false,
        "StandardName": 0,
        "IsStandardNode": false,
        "WarnMessage": null,
        "StandardDescription": null,
        "HasStandardDescription": false,
        "HasStandardName": false,
        "OptimisationNodePair": null,
        "IsOptimisationNode": false,
        "Actuals": null,
        "UDFCode": null,
        "AssociatedOptimisationNodes": null,
        "CustomNamedRange": null,
        "IsRowTotal": false,
        "YPosition": 4,
        "Parent": {
          "$ref": "1"
        },
        "Visible": true,
        "Font": null,
        "AllowIncomingLinks": true,
        "AllowOutgoingLinks": tru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Issues": null
      },
      {
        "$id": "208",
        "$type": "ModelMaker.VariableNode, ModelMaker",
        "RowTotalDependent": null,
        "PutCalculationOnReport": false,
        "CalculateOnThisReport": null,
        "PivotTableLink": null,
        "ExcelNameName": "CPIH_factor",
        "ExcelNameNames": {
          "$type": "ModelMakerEngine.ExcelNameDictionary, ModelMakerEngine",
          "$values": []
        },
        "NumberFormatOverride": null,
        "HasOpeningBalanceFlag": false,
        "OpeningBalanceFlagAppliedName": "",
        "Deletable": true,
        "Comment": "",
        "HasSwitchSignLine": false,
        "SwitchSignForReport": false,
        "MultipleInputValues": null,
        "NonPrimaryInput": false,
        "Max": "NaN",
        "Min": "NaN",
        "IsBalanceButNotCorkscrew": false,
        "IsEditable": true,
        "IsConstant": false,
        "UniqueID": "c324cbcf-1459-46b0-a9e7-9c05cc223106",
        "Dimensions": {
          "$type": "ModelMakerEngine.MMDimensions, ModelMakerEngine",
          "$values": []
        },
        "EquationOBXInternal": "[CPIH 2022-23]/[CPIH 2017-18]",
        "NameOfGroup": "Wholesale",
        "EquationToParse": "[CPIH 2022-23]/[CPIH 2017-18]",
        "MostRecentExpectedUnitErrors": null,
        "Units": {
          "$id": "209",
          "$type": "ModelMaker.Unit, ModelMaker",
          "NumberFormatOverride": null,
          "MatchAnything": false,
          "ExternalRepresentation": "factor",
          "ItemsOnTop": {
            "$type": "System.Collections.Generic.List`1[[System.String, mscorlib]], mscorlib",
            "$values": []
          },
          "ItemsOnBottom": {
            "$type": "System.Collections.Generic.List`1[[System.String, mscorlib]], mscorlib",
            "$values": []
          },
          "IsCurrency": false,
          "ContainsSMU": false,
          "IsDimensionless": false,
          "InsertRowTotal": true,
          "IgnoreWhenDeterminingExpectedUnits": false
        },
        "Name": "CPIH factor",
        "ReportLines": {
          "$type": "ModelMaker.UndoableCollection`1[[ModelMakerEngine.IReportLine, ModelMakerEngine]], ModelMaker.Undo",
          "$values": []
        },
        "IsOpeningBalance": false,
        "ExternalLinks": {
          "$type": "UINext.Collections.DeepObservableCollection`1[[ExternalLinks.IExternalDataLink, ExternalLinks]], UINext",
          "$values": []
        },
        "HasUnits": true,
        "UnitsValid": true,
        "UnitsErrorMessage": "",
        "IgnoreUnitIssues": false,
        "IsPlaceholder": false,
        "StandardName": 0,
        "IsStandardNode": false,
        "WarnMessage": null,
        "StandardDescription": null,
        "HasStandardDescription": false,
        "HasStandardName": false,
        "OptimisationNodePair": null,
        "IsOptimisationNode": false,
        "Actuals": null,
        "UDFCode": null,
        "AssociatedOptimisationNodes": null,
        "CustomNamedRange": null,
        "IsRowTotal": false,
        "YPosition": 0,
        "Parent": {
          "$ref": "1"
        },
        "Visible": true,
        "Font": null,
        "AllowIncomingLinks": true,
        "AllowOutgoingLinks": tru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Issues": null
      },
      {
        "$ref": "33"
      },
      {
        "$ref": "31"
      },
      {
        "$id": "210",
        "$type": "ModelMaker.VariableNode, ModelMaker",
        "RowTotalDependent": null,
        "PutCalculationOnReport": false,
        "CalculateOnThisReport": null,
        "PivotTableLink": null,
        "ExcelNameName": "Total_bill_impact",
        "ExcelNameNames": {
          "$type": "ModelMakerEngine.ExcelNameDictionary, ModelMakerEngine",
          "$values": []
        },
        "NumberFormatOverride": null,
        "HasOpeningBalanceFlag": false,
        "OpeningBalanceFlagAppliedName": "",
        "Deletable": true,
        "Comment": "",
        "HasSwitchSignLine": false,
        "SwitchSignForReport": false,
        "MultipleInputValues": null,
        "NonPrimaryInput": false,
        "Max": "NaN",
        "Min": "NaN",
        "IsBalanceButNotCorkscrew": false,
        "IsEditable": true,
        "IsConstant": false,
        "UniqueID": "791db52a-b7d4-4fee-a1e0-43502b96e47f",
        "Dimensions": {
          "$type": "ModelMakerEngine.MMDimensions, ModelMakerEngine",
          "$values": []
        },
        "EquationOBXInternal": "[Combined average bills PR24] - [Combined average bills PR19 (2022-23 prices)]",
        "NameOfGroup": "Wholesale",
        "EquationToParse": "[Combined average bills PR24] - [Combined average bills PR19 (2022-23 prices)]",
        "MostRecentExpectedUnitErrors": null,
        "Units": {
          "$id": "211",
          "$type": "ModelMaker.Unit, ModelMaker",
          "NumberFormatOverride": null,
          "MatchAnything": false,
          "ExternalRepresentation": "£ / customer",
          "ItemsOnTop": {
            "$type": "System.Collections.Generic.List`1[[System.String, mscorlib]], mscorlib",
            "$values": [
              "£"
            ]
          },
          "ItemsOnBottom": {
            "$type": "System.Collections.Generic.List`1[[System.String, mscorlib]], mscorlib",
            "$values": [
              "CUSTOMER"
            ]
          },
          "IsCurrency": true,
          "ContainsSMU": false,
          "IsDimensionless": false,
          "InsertRowTotal": true,
          "IgnoreWhenDeterminingExpectedUnits": false
        },
        "Name": "Total bill impact",
        "ReportLines": {
          "$type": "ModelMaker.UndoableCollection`1[[ModelMakerEngine.IReportLine, ModelMakerEngine]], ModelMaker.Undo",
          "$values": []
        },
        "IsOpeningBalance": false,
        "ExternalLinks": {
          "$type": "UINext.Collections.DeepObservableCollection`1[[ExternalLinks.IExternalDataLink, ExternalLinks]], UINext",
          "$values": []
        },
        "HasUnits": true,
        "UnitsValid": true,
        "UnitsErrorMessage": "",
        "IgnoreUnitIssues": false,
        "IsPlaceholder": false,
        "StandardName": 0,
        "IsStandardNode": false,
        "WarnMessage": null,
        "StandardDescription": null,
        "HasStandardDescription": false,
        "HasStandardName": false,
        "OptimisationNodePair": null,
        "IsOptimisationNode": false,
        "Actuals": null,
        "UDFCode": null,
        "AssociatedOptimisationNodes": null,
        "CustomNamedRange": null,
        "IsRowTotal": false,
        "YPosition": 1,
        "Parent": {
          "$ref": "1"
        },
        "Visible": true,
        "Font": null,
        "AllowIncomingLinks": true,
        "AllowOutgoingLinks": tru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Issues": null
      },
      {
        "$ref": "48"
      },
      {
        "$ref": "45"
      },
      {
        "$id": "212",
        "$type": "ModelMaker.GroupNode, ModelMaker",
        "TabOrHeaderColour": "",
        "Comment": "",
        "NameOfGroup": null,
        "YPosition": 0,
        "Folded": false,
        "Font": null,
        "Children": {
          "$type": "ModelMaker.GroupNodeChildCollection, ModelMaker",
          "$values": [
            {
              "$ref": "208"
            },
            {
              "$ref": "210"
            },
            {
              "$ref": "204"
            },
            {
              "$id": "213",
              "$type": "ModelMaker.VariableNode, ModelMaker",
              "RowTotalDependent": null,
              "PutCalculationOnReport": false,
              "CalculateOnThisReport": null,
              "PivotTableLink": null,
              "ExcelNameName": "Profiled_allowed_revenues_PR19",
              "ExcelNameNames": {
                "$type": "ModelMakerEngine.ExcelNameDictionary, ModelMakerEngine",
                "$values": []
              },
              "NumberFormatOverride": null,
              "HasOpeningBalanceFlag": false,
              "OpeningBalanceFlagAppliedName": "",
              "Deletable": true,
              "Comment": "",
              "HasSwitchSignLine": false,
              "SwitchSignForReport": false,
              "MultipleInputValues": null,
              "NonPrimaryInput": false,
              "Max": "NaN",
              "Min": "NaN",
              "IsBalanceButNotCorkscrew": false,
              "IsEditable": true,
              "IsConstant": false,
              "UniqueID": "98b1cb55-5fbe-40cf-9296-f02877bcc711",
              "Dimensions": {
                "$type": "ModelMakerEngine.MMDimensions, ModelMakerEngine",
                "$values": []
              },
              "EquationOBXInternal": "[Pre-inflation final profiled allowed revenues PR19] * [CPIH factor]",
              "NameOfGroup": "Wholesale",
              "EquationToParse": "[Pre-inflation final profiled allowed revenues PR19] * [CPIH factor]",
              "MostRecentExpectedUnitErrors": null,
              "Units": {
                "$id": "214",
                "$type": "ModelMaker.Unit, ModelMaker",
                "NumberFormatOverride": null,
                "MatchAnything": false,
                "ExternalRepresentation": "£m",
                "ItemsOnTop": {
                  "$type": "System.Collections.Generic.List`1[[System.String, mscorlib]], mscorlib",
                  "$values": [
                    "£M"
                  ]
                },
                "ItemsOnBottom": {
                  "$type": "System.Collections.Generic.List`1[[System.String, mscorlib]], mscorlib",
                  "$values": []
                },
                "IsCurrency": true,
                "ContainsSMU": false,
                "IsDimensionless": false,
                "InsertRowTotal": true,
                "IgnoreWhenDeterminingExpectedUnits": false
              },
              "Name": "Profiled allowed revenues PR19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true,
              "UnitsErrorMessage": "",
              "IgnoreUnitIssues": false,
              "IsPlaceholder": false,
              "StandardName": 0,
              "IsStandardNode": false,
              "WarnMessage": null,
              "StandardDescription": null,
              "HasStandardDescription": false,
              "HasStandardName": false,
              "OptimisationNodePair": null,
              "IsOptimisationNode": false,
              "Actuals": null,
              "UDFCode": null,
              "AssociatedOptimisationNodes": null,
              "CustomNamedRange": null,
              "IsRowTotal": false,
              "YPosition": 3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ref": "206"
            },
            {
              "$ref": "199"
            },
            {
              "$id": "215",
              "$type": "ModelMaker.GroupNode, ModelMaker",
              "TabOrHeaderColour": "",
              "Comment": "",
              "NameOfGroup": "Wholesale",
              "YPosition": 6,
              "Folded": false,
              "Font": null,
              "Children": {
                "$type": "ModelMaker.GroupNodeChildCollection, ModelMaker",
                "$values": [
                  {
                    "$id": "216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Final_return_on_capital_PR19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935b1b3f-af9c-48cb-b453-d7d4a7fe8da3",
                    "Dimensions": {
                      "$type": "ModelMakerEngine.MMDimensions, ModelMakerEngine",
                      "$values": []
                    },
                    "EquationOBXInternal": "[Pre-inflation final return on capital PR19] * [CPIH factor]",
                    "NameOfGroup": "Wholesale.WACC",
                    "EquationToParse": "[Pre-inflation final return on capital PR19] * [CPIH factor]",
                    "MostRecentExpectedUnitErrors": null,
                    "Units": {
                      "$id": "217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Final return on capital PR19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0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218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Pre_adjustment_WACC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1c16bb0c-2caa-4adc-8f99-ffd195a828e2",
                    "Dimensions": {
                      "$type": "ModelMakerEngine.MMDimensions, ModelMakerEngine",
                      "$values": []
                    },
                    "EquationOBXInternal": "([Final return on capital PR24] - [Final return on capital PR19])/[Total number of households PR24] * [Units in a thousand]",
                    "NameOfGroup": "Wholesale.WACC",
                    "EquationToParse": "([Final return on capital PR24] - [Final return on capital PR19])/[Total number of households PR24] * [Units in a thousand]",
                    "MostRecentExpectedUnitErrors": null,
                    "Units": {
                      "$id": "219",
                      "$type": "ModelMaker.Unit, ModelMaker",
                      "NumberFormatOverride": null,
                      "MatchAnything": false,
                      "ExternalRepresentation": "£ / customer",
                      "ItemsOnTop": {
                        "$type": "System.Collections.Generic.List`1[[System.String, mscorlib]], mscorlib",
                        "$values": [
                          "£"
                        ]
                      },
                      "ItemsOnBottom": {
                        "$type": "System.Collections.Generic.List`1[[System.String, mscorlib]], mscorlib",
                        "$values": [
                          "CUSTOMER"
                        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Pre-adjustment WACC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false,
                    "UnitsErrorMessage": "Units should be £M * UNITS/000 CUSTOMERS,  but they are £ / customer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1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ref": "164"
                  }
                ]
              },
              "AllowAddChildren": true,
              "AllowRemoveChildren": true,
              "IsImported": false,
              "IsChecksGroup": false,
              "IsAlertsGroup": false,
              "IsChecksAndAlertsGroup": false,
              "IsUnallocatedGroup": false,
              "IsInputsGroup": false,
              "IsFlag": false,
              "IsTimeAndFlagsGroup": false,
              "DimensionsAcross": {
                "$type": "ModelMakerEngine.MMDimensions, ModelMakerEngine",
                "$values": []
              },
              "TimeAxis": 0,
              "IndexInParent": -1,
              "Name": "WACC",
              "Parent": {
                "$ref": "1"
              },
              "Visible": true,
              "ToolTip": "",
              "OpeningBalanceFlagAppliedName": "",
              "AllowIncomingLinks": false,
              "AllowOutgoingLinks": fals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Deletable": true,
              "Issues": null
            }
          ]
        },
        "AllowAddChildren": true,
        "AllowRemoveChildren": true,
        "IsImported": false,
        "IsChecksGroup": false,
        "IsAlertsGroup": false,
        "IsChecksAndAlertsGroup": false,
        "IsUnallocatedGroup": false,
        "IsInputsGroup": false,
        "IsFlag": false,
        "IsTimeAndFlagsGroup": false,
        "DimensionsAcross": {
          "$type": "ModelMakerEngine.MMDimensions, ModelMakerEngine",
          "$values": []
        },
        "TimeAxis": 0,
        "IndexInParent": 5,
        "Name": "Wholesale",
        "Parent": {
          "$ref": "1"
        },
        "Visible": true,
        "ToolTip": "",
        "OpeningBalanceFlagAppliedName": "",
        "AllowIncomingLinks": false,
        "AllowOutgoingLinks": fals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true,
        "Issues": null
      },
      {
        "$ref": "39"
      },
      {
        "$ref": "213"
      },
      {
        "$ref": "128"
      },
      {
        "$ref": "52"
      },
      {
        "$ref": "37"
      },
      {
        "$ref": "127"
      },
      {
        "$id": "220",
        "$type": "ModelMaker.GroupNode, ModelMaker",
        "TabOrHeaderColour": "",
        "Comment": "",
        "NameOfGroup": null,
        "YPosition": 0,
        "Folded": false,
        "Font": null,
        "Children": {
          "$type": "ModelMaker.GroupNodeChildCollection, ModelMaker",
          "$values": []
        },
        "AllowAddChildren": true,
        "AllowRemoveChildren": true,
        "IsImported": false,
        "IsChecksGroup": false,
        "IsAlertsGroup": false,
        "IsChecksAndAlertsGroup": false,
        "IsUnallocatedGroup": false,
        "IsInputsGroup": false,
        "IsFlag": false,
        "IsTimeAndFlagsGroup": false,
        "DimensionsAcross": {
          "$type": "ModelMakerEngine.MMDimensions, ModelMakerEngine",
          "$values": []
        },
        "TimeAxis": 0,
        "IndexInParent": 12,
        "Name": "Optimisation",
        "Parent": {
          "$ref": "1"
        },
        "Visible": true,
        "ToolTip": "",
        "OpeningBalanceFlagAppliedName": "",
        "AllowIncomingLinks": false,
        "AllowOutgoingLinks": fals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true,
        "Issues": null
      },
      {
        "$id": "221",
        "$type": "ModelMaker.VariableNode, ModelMaker",
        "RowTotalDependent": null,
        "PutCalculationOnReport": false,
        "CalculateOnThisReport": null,
        "PivotTableLink": null,
        "ExcelNameName": "Pension_deficit_repair_allowance",
        "ExcelNameNames": {
          "$type": "ModelMakerEngine.ExcelNameDictionary, ModelMakerEngine",
          "$values": []
        },
        "NumberFormatOverride": null,
        "HasOpeningBalanceFlag": false,
        "OpeningBalanceFlagAppliedName": "",
        "Deletable": true,
        "Comment": "",
        "HasSwitchSignLine": false,
        "SwitchSignForReport": false,
        "MultipleInputValues": null,
        "NonPrimaryInput": false,
        "Max": "NaN",
        "Min": "NaN",
        "IsBalanceButNotCorkscrew": false,
        "IsEditable": true,
        "IsConstant": false,
        "UniqueID": "690f6aa1-c347-4282-b0c8-abd6052caf5d",
        "Dimensions": {
          "$type": "ModelMakerEngine.MMDimensions, ModelMakerEngine",
          "$values": []
        },
        "EquationOBXInternal": "[Pre-adjustment Pension deficit repair allowance] * [Adjustment factor]",
        "NameOfGroup": "Other wholesale items",
        "EquationToParse": "[Pre-adjustment Pension deficit repair allowance] * [Adjustment factor]",
        "MostRecentExpectedUnitErrors": null,
        "Units": {
          "$id": "222",
          "$type": "ModelMaker.Unit, ModelMaker",
          "NumberFormatOverride": null,
          "MatchAnything": false,
          "ExternalRepresentation": "£ / customer",
          "ItemsOnTop": {
            "$type": "System.Collections.Generic.List`1[[System.String, mscorlib]], mscorlib",
            "$values": [
              "£"
            ]
          },
          "ItemsOnBottom": {
            "$type": "System.Collections.Generic.List`1[[System.String, mscorlib]], mscorlib",
            "$values": [
              "CUSTOMER"
            ]
          },
          "IsCurrency": true,
          "ContainsSMU": false,
          "IsDimensionless": false,
          "InsertRowTotal": true,
          "IgnoreWhenDeterminingExpectedUnits": false
        },
        "Name": "Pension deficit repair allowance",
        "ReportLines": {
          "$type": "ModelMaker.UndoableCollection`1[[ModelMakerEngine.IReportLine, ModelMakerEngine]], ModelMaker.Undo",
          "$values": []
        },
        "IsOpeningBalance": false,
        "ExternalLinks": {
          "$type": "UINext.Collections.DeepObservableCollection`1[[ExternalLinks.IExternalDataLink, ExternalLinks]], UINext",
          "$values": []
        },
        "HasUnits": true,
        "UnitsValid": true,
        "UnitsErrorMessage": "",
        "IgnoreUnitIssues": false,
        "IsPlaceholder": false,
        "StandardName": 0,
        "IsStandardNode": false,
        "WarnMessage": null,
        "StandardDescription": null,
        "HasStandardDescription": false,
        "HasStandardName": false,
        "OptimisationNodePair": null,
        "IsOptimisationNode": false,
        "Actuals": null,
        "UDFCode": null,
        "AssociatedOptimisationNodes": null,
        "CustomNamedRange": null,
        "IsRowTotal": false,
        "YPosition": 2,
        "Parent": {
          "$ref": "1"
        },
        "Visible": true,
        "Font": null,
        "AllowIncomingLinks": true,
        "AllowOutgoingLinks": tru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Issues": null
      },
      {
        "$id": "223",
        "$type": "ModelMaker.VariableNode, ModelMaker",
        "RowTotalDependent": null,
        "PutCalculationOnReport": false,
        "CalculateOnThisReport": null,
        "PivotTableLink": null,
        "ExcelNameName": "Tax",
        "ExcelNameNames": {
          "$type": "ModelMakerEngine.ExcelNameDictionary, ModelMakerEngine",
          "$values": []
        },
        "NumberFormatOverride": null,
        "HasOpeningBalanceFlag": false,
        "OpeningBalanceFlagAppliedName": "",
        "Deletable": true,
        "Comment": "",
        "HasSwitchSignLine": false,
        "SwitchSignForReport": false,
        "MultipleInputValues": null,
        "NonPrimaryInput": false,
        "Max": "NaN",
        "Min": "NaN",
        "IsBalanceButNotCorkscrew": false,
        "IsEditable": true,
        "IsConstant": false,
        "UniqueID": "61512a82-9b0c-4c61-bade-b4a3bc50cb59",
        "Dimensions": {
          "$type": "ModelMakerEngine.MMDimensions, ModelMakerEngine",
          "$values": []
        },
        "EquationOBXInternal": "[Pre-adjustment tax] * [Adjustment factor]",
        "NameOfGroup": "Other wholesale items",
        "EquationToParse": "[Pre-adjustment tax] * [Adjustment factor]",
        "MostRecentExpectedUnitErrors": null,
        "Units": {
          "$id": "224",
          "$type": "ModelMaker.Unit, ModelMaker",
          "NumberFormatOverride": null,
          "MatchAnything": false,
          "ExternalRepresentation": "£ / customer",
          "ItemsOnTop": {
            "$type": "System.Collections.Generic.List`1[[System.String, mscorlib]], mscorlib",
            "$values": [
              "£"
            ]
          },
          "ItemsOnBottom": {
            "$type": "System.Collections.Generic.List`1[[System.String, mscorlib]], mscorlib",
            "$values": [
              "CUSTOMER"
            ]
          },
          "IsCurrency": true,
          "ContainsSMU": false,
          "IsDimensionless": false,
          "InsertRowTotal": true,
          "IgnoreWhenDeterminingExpectedUnits": false
        },
        "Name": "Tax",
        "ReportLines": {
          "$type": "ModelMaker.UndoableCollection`1[[ModelMakerEngine.IReportLine, ModelMakerEngine]], ModelMaker.Undo",
          "$values": []
        },
        "IsOpeningBalance": false,
        "ExternalLinks": {
          "$type": "UINext.Collections.DeepObservableCollection`1[[ExternalLinks.IExternalDataLink, ExternalLinks]], UINext",
          "$values": []
        },
        "HasUnits": true,
        "UnitsValid": true,
        "UnitsErrorMessage": "",
        "IgnoreUnitIssues": false,
        "IsPlaceholder": false,
        "StandardName": 0,
        "IsStandardNode": false,
        "WarnMessage": null,
        "StandardDescription": null,
        "HasStandardDescription": false,
        "HasStandardName": false,
        "OptimisationNodePair": null,
        "IsOptimisationNode": false,
        "Actuals": null,
        "UDFCode": null,
        "AssociatedOptimisationNodes": null,
        "CustomNamedRange": null,
        "IsRowTotal": false,
        "YPosition": 2,
        "Parent": {
          "$ref": "1"
        },
        "Visible": true,
        "Font": null,
        "AllowIncomingLinks": true,
        "AllowOutgoingLinks": tru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Issues": null
      },
      {
        "$id": "225",
        "$type": "ModelMaker.VariableNode, ModelMaker",
        "RowTotalDependent": null,
        "PutCalculationOnReport": false,
        "CalculateOnThisReport": null,
        "PivotTableLink": null,
        "ExcelNameName": "Revenue_profiling",
        "ExcelNameNames": {
          "$type": "ModelMakerEngine.ExcelNameDictionary, ModelMakerEngine",
          "$values": []
        },
        "NumberFormatOverride": null,
        "HasOpeningBalanceFlag": false,
        "OpeningBalanceFlagAppliedName": "",
        "Deletable": true,
        "Comment": "",
        "HasSwitchSignLine": false,
        "SwitchSignForReport": false,
        "MultipleInputValues": null,
        "NonPrimaryInput": false,
        "Max": "NaN",
        "Min": "NaN",
        "IsBalanceButNotCorkscrew": false,
        "IsEditable": true,
        "IsConstant": false,
        "UniqueID": "7716a680-c2e7-49bc-8e9b-20bcd30c1496",
        "Dimensions": {
          "$type": "ModelMakerEngine.MMDimensions, ModelMakerEngine",
          "$values": []
        },
        "EquationOBXInternal": "[Pre-adjustment revenue profiling] * [Adjustment factor]",
        "NameOfGroup": "Unallocated",
        "EquationToParse": "[Pre-adjustment revenue profiling] * [Adjustment factor]",
        "MostRecentExpectedUnitErrors": null,
        "Units": {
          "$id": "226",
          "$type": "ModelMaker.Unit, ModelMaker",
          "NumberFormatOverride": null,
          "MatchAnything": false,
          "ExternalRepresentation": "£ / customer",
          "ItemsOnTop": {
            "$type": "System.Collections.Generic.List`1[[System.String, mscorlib]], mscorlib",
            "$values": [
              "£"
            ]
          },
          "ItemsOnBottom": {
            "$type": "System.Collections.Generic.List`1[[System.String, mscorlib]], mscorlib",
            "$values": [
              "CUSTOMER"
            ]
          },
          "IsCurrency": true,
          "ContainsSMU": false,
          "IsDimensionless": false,
          "InsertRowTotal": true,
          "IgnoreWhenDeterminingExpectedUnits": false
        },
        "Name": "Revenue profiling",
        "ReportLines": {
          "$type": "ModelMaker.UndoableCollection`1[[ModelMakerEngine.IReportLine, ModelMakerEngine]], ModelMaker.Undo",
          "$values": []
        },
        "IsOpeningBalance": false,
        "ExternalLinks": {
          "$type": "UINext.Collections.DeepObservableCollection`1[[ExternalLinks.IExternalDataLink, ExternalLinks]], UINext",
          "$values": []
        },
        "HasUnits": true,
        "UnitsValid": true,
        "UnitsErrorMessage": "",
        "IgnoreUnitIssues": false,
        "IsPlaceholder": false,
        "StandardName": 0,
        "IsStandardNode": false,
        "WarnMessage": null,
        "StandardDescription": null,
        "HasStandardDescription": false,
        "HasStandardName": false,
        "OptimisationNodePair": null,
        "IsOptimisationNode": false,
        "Actuals": null,
        "UDFCode": null,
        "AssociatedOptimisationNodes": null,
        "CustomNamedRange": null,
        "IsRowTotal": false,
        "YPosition": 2,
        "Parent": {
          "$ref": "1"
        },
        "Visible": true,
        "Font": null,
        "AllowIncomingLinks": true,
        "AllowOutgoingLinks": tru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Issues": null
      },
      {
        "$id": "227",
        "$type": "ModelMaker.VariableNode, ModelMaker",
        "RowTotalDependent": null,
        "PutCalculationOnReport": false,
        "CalculateOnThisReport": null,
        "PivotTableLink": null,
        "ExcelNameName": "Other",
        "ExcelNameNames": {
          "$type": "ModelMakerEngine.ExcelNameDictionary, ModelMakerEngine",
          "$values": []
        },
        "NumberFormatOverride": null,
        "HasOpeningBalanceFlag": false,
        "OpeningBalanceFlagAppliedName": "",
        "Deletable": true,
        "Comment": "",
        "HasSwitchSignLine": false,
        "SwitchSignForReport": false,
        "MultipleInputValues": null,
        "NonPrimaryInput": false,
        "Max": "NaN",
        "Min": "NaN",
        "IsBalanceButNotCorkscrew": false,
        "IsEditable": true,
        "IsConstant": false,
        "UniqueID": "44e4c5d1-4ed2-470f-b7a5-5ddcd45a00ba",
        "Dimensions": {
          "$type": "ModelMakerEngine.MMDimensions, ModelMakerEngine",
          "$values": []
        },
        "EquationOBXInternal": "[Wholesale bill impact] - ([PAYG bill impact] + [Pension deficit repair allowance] + [WACC] + [Run off bill impact] + [Tax] + [Wholesale reconciliation items] + [Revenue profiling])",
        "NameOfGroup": "Unallocated",
        "EquationToParse": "[Wholesale bill impact] - ([PAYG bill impact] + [Pension deficit repair allowance] + [WACC] + [Run off bill impact] + [Tax] + [Wholesale reconciliation items] + [Revenue profiling])",
        "MostRecentExpectedUnitErrors": null,
        "Units": {
          "$id": "228",
          "$type": "ModelMaker.Unit, ModelMaker",
          "NumberFormatOverride": null,
          "MatchAnything": false,
          "ExternalRepresentation": "£ / customer",
          "ItemsOnTop": {
            "$type": "System.Collections.Generic.List`1[[System.String, mscorlib]], mscorlib",
            "$values": [
              "£"
            ]
          },
          "ItemsOnBottom": {
            "$type": "System.Collections.Generic.List`1[[System.String, mscorlib]], mscorlib",
            "$values": [
              "CUSTOMER"
            ]
          },
          "IsCurrency": true,
          "ContainsSMU": false,
          "IsDimensionless": false,
          "InsertRowTotal": true,
          "IgnoreWhenDeterminingExpectedUnits": false
        },
        "Name": "Other",
        "ReportLines": {
          "$type": "ModelMaker.UndoableCollection`1[[ModelMakerEngine.IReportLine, ModelMakerEngine]], ModelMaker.Undo",
          "$values": []
        },
        "IsOpeningBalance": false,
        "ExternalLinks": {
          "$type": "UINext.Collections.DeepObservableCollection`1[[ExternalLinks.IExternalDataLink, ExternalLinks]], UINext",
          "$values": []
        },
        "HasUnits": true,
        "UnitsValid": true,
        "UnitsErrorMessage": "",
        "IgnoreUnitIssues": false,
        "IsPlaceholder": false,
        "StandardName": 0,
        "IsStandardNode": false,
        "WarnMessage": null,
        "StandardDescription": null,
        "HasStandardDescription": false,
        "HasStandardName": false,
        "OptimisationNodePair": null,
        "IsOptimisationNode": false,
        "Actuals": null,
        "UDFCode": null,
        "AssociatedOptimisationNodes": null,
        "CustomNamedRange": null,
        "IsRowTotal": false,
        "YPosition": 1,
        "Parent": {
          "$ref": "1"
        },
        "Visible": true,
        "Font": null,
        "AllowIncomingLinks": true,
        "AllowOutgoingLinks": tru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Issues": null
      },
      {
        "$id": "229",
        "$type": "ModelMaker.GroupNode, ModelMaker",
        "TabOrHeaderColour": "",
        "Comment": "",
        "NameOfGroup": null,
        "YPosition": 0,
        "Folded": false,
        "Font": null,
        "Children": {
          "$type": "ModelMaker.GroupNodeChildCollection, ModelMaker",
          "$values": [
            {
              "$id": "230",
              "$type": "ModelMaker.GroupNode, ModelMaker",
              "TabOrHeaderColour": "",
              "Comment": "",
              "NameOfGroup": "Other wholesale items",
              "YPosition": 0,
              "Folded": false,
              "Font": null,
              "Children": {
                "$type": "ModelMaker.GroupNodeChildCollection, ModelMaker",
                "$values": [
                  {
                    "$id": "231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Pension_deficit_repair_allowance_PR19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30a65991-54d4-401e-b712-4015ed4c0cce",
                    "Dimensions": {
                      "$type": "ModelMakerEngine.MMDimensions, ModelMakerEngine",
                      "$values": []
                    },
                    "EquationOBXInternal": "[Pre-inflation pension deficit repair allowance PR19] * [CPIH factor]",
                    "NameOfGroup": "Other wholesale items",
                    "EquationToParse": "[Pre-inflation pension deficit repair allowance PR19] * [CPIH factor]",
                    "MostRecentExpectedUnitErrors": null,
                    "Units": {
                      "$id": "232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Pension deficit repair allowance PR19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0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233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Pre_adjustment_Pension_deficit_repair_allowance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a6a21e9d-279b-44e4-a500-efa8e0598a7c",
                    "Dimensions": {
                      "$type": "ModelMakerEngine.MMDimensions, ModelMakerEngine",
                      "$values": []
                    },
                    "EquationOBXInternal": "([Pension deficit repair allowance PR24] - [Pension deficit repair allowance PR19])/[Total number of households PR24] * [Units in a thousand]",
                    "NameOfGroup": "Other wholesale items",
                    "EquationToParse": "([Pension deficit repair allowance PR24] - [Pension deficit repair allowance PR19])/[Total number of households PR24] * [Units in a thousand]",
                    "MostRecentExpectedUnitErrors": null,
                    "Units": {
                      "$id": "234",
                      "$type": "ModelMaker.Unit, ModelMaker",
                      "NumberFormatOverride": null,
                      "MatchAnything": false,
                      "ExternalRepresentation": "£ / customer",
                      "ItemsOnTop": {
                        "$type": "System.Collections.Generic.List`1[[System.String, mscorlib]], mscorlib",
                        "$values": [
                          "£"
                        ]
                      },
                      "ItemsOnBottom": {
                        "$type": "System.Collections.Generic.List`1[[System.String, mscorlib]], mscorlib",
                        "$values": [
                          "CUSTOMER"
                        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Pre-adjustment Pension deficit repair allowance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false,
                    "UnitsErrorMessage": "Units should be £M * UNITS/000 CUSTOMERS,  but they are £ / customer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1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ref": "221"
                  }
                ]
              },
              "AllowAddChildren": true,
              "AllowRemoveChildren": true,
              "IsImported": false,
              "IsChecksGroup": false,
              "IsAlertsGroup": false,
              "IsChecksAndAlertsGroup": false,
              "IsUnallocatedGroup": false,
              "IsInputsGroup": false,
              "IsFlag": false,
              "IsTimeAndFlagsGroup": false,
              "DimensionsAcross": {
                "$type": "ModelMakerEngine.MMDimensions, ModelMakerEngine",
                "$values": []
              },
              "TimeAxis": 0,
              "IndexInParent": -1,
              "Name": "Pension deficit repair allowance",
              "Parent": {
                "$ref": "1"
              },
              "Visible": true,
              "ToolTip": "",
              "OpeningBalanceFlagAppliedName": "",
              "AllowIncomingLinks": false,
              "AllowOutgoingLinks": fals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Deletable": true,
              "Issues": null
            },
            {
              "$id": "235",
              "$type": "ModelMaker.GroupNode, ModelMaker",
              "TabOrHeaderColour": "",
              "Comment": "",
              "NameOfGroup": "Other wholesale items",
              "YPosition": 1,
              "Folded": false,
              "Font": null,
              "Children": {
                "$type": "ModelMaker.GroupNodeChildCollection, ModelMaker",
                "$values": [
                  {
                    "$id": "236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Tax_PR19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559c26d2-ce7c-4397-bad1-77e8809fc562",
                    "Dimensions": {
                      "$type": "ModelMakerEngine.MMDimensions, ModelMakerEngine",
                      "$values": []
                    },
                    "EquationOBXInternal": "[Pre-inflation tax PR19] * [CPIH factor]",
                    "NameOfGroup": "Other wholesale items",
                    "EquationToParse": "[Pre-inflation tax PR19] * [CPIH factor]",
                    "MostRecentExpectedUnitErrors": null,
                    "Units": {
                      "$id": "237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Tax PR19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0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238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Pre_adjustment_tax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876bc182-ec94-482a-ae73-24e6340b7e11",
                    "Dimensions": {
                      "$type": "ModelMakerEngine.MMDimensions, ModelMakerEngine",
                      "$values": []
                    },
                    "EquationOBXInternal": "([Tax PR24] - [Tax PR19])/[Total number of households PR24] * [Units in a thousand]",
                    "NameOfGroup": "Other wholesale items",
                    "EquationToParse": "([Tax PR24] - [Tax PR19])/[Total number of households PR24] * [Units in a thousand]",
                    "MostRecentExpectedUnitErrors": null,
                    "Units": {
                      "$id": "239",
                      "$type": "ModelMaker.Unit, ModelMaker",
                      "NumberFormatOverride": null,
                      "MatchAnything": false,
                      "ExternalRepresentation": "£ / customer",
                      "ItemsOnTop": {
                        "$type": "System.Collections.Generic.List`1[[System.String, mscorlib]], mscorlib",
                        "$values": [
                          "£"
                        ]
                      },
                      "ItemsOnBottom": {
                        "$type": "System.Collections.Generic.List`1[[System.String, mscorlib]], mscorlib",
                        "$values": [
                          "CUSTOMER"
                        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Pre-adjustment tax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false,
                    "UnitsErrorMessage": "Units should be £M * UNITS/000 CUSTOMERS,  but they are £ / customer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1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ref": "223"
                  }
                ]
              },
              "AllowAddChildren": true,
              "AllowRemoveChildren": true,
              "IsImported": false,
              "IsChecksGroup": false,
              "IsAlertsGroup": false,
              "IsChecksAndAlertsGroup": false,
              "IsUnallocatedGroup": false,
              "IsInputsGroup": false,
              "IsFlag": false,
              "IsTimeAndFlagsGroup": false,
              "DimensionsAcross": {
                "$type": "ModelMakerEngine.MMDimensions, ModelMakerEngine",
                "$values": []
              },
              "TimeAxis": 0,
              "IndexInParent": -1,
              "Name": "Tax",
              "Parent": {
                "$ref": "1"
              },
              "Visible": true,
              "ToolTip": "",
              "OpeningBalanceFlagAppliedName": "",
              "AllowIncomingLinks": false,
              "AllowOutgoingLinks": fals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Deletable": true,
              "Issues": null
            },
            {
              "$id": "240",
              "$type": "ModelMaker.GroupNode, ModelMaker",
              "TabOrHeaderColour": "",
              "Comment": "",
              "NameOfGroup": "Other wholesale items",
              "YPosition": 2,
              "Folded": false,
              "Font": null,
              "Children": {
                "$type": "ModelMaker.GroupNodeChildCollection, ModelMaker",
                "$values": [
                  {
                    "$id": "241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Revenue_profiling_PR19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4b9565e4-f4b2-4760-b7d5-5a26f77158aa",
                    "Dimensions": {
                      "$type": "ModelMakerEngine.MMDimensions, ModelMakerEngine",
                      "$values": []
                    },
                    "EquationOBXInternal": "[Pre-inflation revenue profiling PR19] * [CPIH factor]",
                    "NameOfGroup": "Other wholesale items.Revenue profiling",
                    "EquationToParse": "[Pre-inflation revenue profiling PR19] * [CPIH factor]",
                    "MostRecentExpectedUnitErrors": null,
                    "Units": {
                      "$id": "242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Revenue profiling PR19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0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243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Pre_adjustment_revenue_profiling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f922a479-cb32-42c4-81eb-e551998b257a",
                    "Dimensions": {
                      "$type": "ModelMakerEngine.MMDimensions, ModelMakerEngine",
                      "$values": []
                    },
                    "EquationOBXInternal": "([Revenue profiling PR24] - [Revenue profiling PR19])/[Total number of households PR24] * [Units in a thousand]",
                    "NameOfGroup": "Other wholesale items.Revenue profiling",
                    "EquationToParse": "([Revenue profiling PR24] - [Revenue profiling PR19])/[Total number of households PR24] * [Units in a thousand]",
                    "MostRecentExpectedUnitErrors": null,
                    "Units": {
                      "$id": "244",
                      "$type": "ModelMaker.Unit, ModelMaker",
                      "NumberFormatOverride": null,
                      "MatchAnything": false,
                      "ExternalRepresentation": "£ / customer",
                      "ItemsOnTop": {
                        "$type": "System.Collections.Generic.List`1[[System.String, mscorlib]], mscorlib",
                        "$values": [
                          "£"
                        ]
                      },
                      "ItemsOnBottom": {
                        "$type": "System.Collections.Generic.List`1[[System.String, mscorlib]], mscorlib",
                        "$values": [
                          "CUSTOMER"
                        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Pre-adjustment revenue profiling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false,
                    "UnitsErrorMessage": "Units should be £M * UNITS/000 CUSTOMERS,  but they are £ / customer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1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ref": "225"
                  }
                ]
              },
              "AllowAddChildren": true,
              "AllowRemoveChildren": true,
              "IsImported": false,
              "IsChecksGroup": false,
              "IsAlertsGroup": false,
              "IsChecksAndAlertsGroup": false,
              "IsUnallocatedGroup": false,
              "IsInputsGroup": false,
              "IsFlag": false,
              "IsTimeAndFlagsGroup": false,
              "DimensionsAcross": {
                "$type": "ModelMakerEngine.MMDimensions, ModelMakerEngine",
                "$values": []
              },
              "TimeAxis": 0,
              "IndexInParent": -1,
              "Name": "Revenue profiling",
              "Parent": {
                "$ref": "1"
              },
              "Visible": true,
              "ToolTip": "",
              "OpeningBalanceFlagAppliedName": "",
              "AllowIncomingLinks": false,
              "AllowOutgoingLinks": fals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Deletable": true,
              "Issues": null
            },
            {
              "$id": "245",
              "$type": "ModelMaker.GroupNode, ModelMaker",
              "TabOrHeaderColour": "",
              "Comment": "",
              "NameOfGroup": "Other wholesale items",
              "YPosition": 3,
              "Folded": false,
              "Font": null,
              "Children": {
                "$type": "ModelMaker.GroupNodeChildCollection, ModelMaker",
                "$values": [
                  {
                    "$ref": "171"
                  },
                  {
                    "$ref": "227"
                  }
                ]
              },
              "AllowAddChildren": true,
              "AllowRemoveChildren": true,
              "IsImported": false,
              "IsChecksGroup": false,
              "IsAlertsGroup": false,
              "IsChecksAndAlertsGroup": false,
              "IsUnallocatedGroup": false,
              "IsInputsGroup": false,
              "IsFlag": false,
              "IsTimeAndFlagsGroup": false,
              "DimensionsAcross": {
                "$type": "ModelMakerEngine.MMDimensions, ModelMakerEngine",
                "$values": []
              },
              "TimeAxis": 0,
              "IndexInParent": -1,
              "Name": "Other",
              "Parent": {
                "$ref": "1"
              },
              "Visible": true,
              "ToolTip": "",
              "OpeningBalanceFlagAppliedName": "",
              "AllowIncomingLinks": false,
              "AllowOutgoingLinks": fals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Deletable": true,
              "Issues": null
            }
          ]
        },
        "AllowAddChildren": true,
        "AllowRemoveChildren": true,
        "IsImported": false,
        "IsChecksGroup": false,
        "IsAlertsGroup": false,
        "IsChecksAndAlertsGroup": false,
        "IsUnallocatedGroup": false,
        "IsInputsGroup": false,
        "IsFlag": false,
        "IsTimeAndFlagsGroup": false,
        "DimensionsAcross": {
          "$type": "ModelMakerEngine.MMDimensions, ModelMakerEngine",
          "$values": []
        },
        "TimeAxis": 0,
        "IndexInParent": 7,
        "Name": "Other wholesale items",
        "Parent": {
          "$ref": "1"
        },
        "Visible": true,
        "ToolTip": "",
        "OpeningBalanceFlagAppliedName": "",
        "AllowIncomingLinks": false,
        "AllowOutgoingLinks": fals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true,
        "Issues": null
      },
      {
        "$ref": "233"
      },
      {
        "$ref": "59"
      },
      {
        "$ref": "231"
      },
      {
        "$ref": "57"
      },
      {
        "$ref": "238"
      },
      {
        "$ref": "63"
      },
      {
        "$ref": "236"
      },
      {
        "$ref": "61"
      },
      {
        "$ref": "230"
      },
      {
        "$ref": "235"
      },
      {
        "$ref": "243"
      },
      {
        "$ref": "240"
      },
      {
        "$ref": "68"
      },
      {
        "$ref": "56"
      },
      {
        "$ref": "241"
      },
      {
        "$ref": "65"
      },
      {
        "$id": "246",
        "$type": "ModelMaker.GroupNode, ModelMaker",
        "TabOrHeaderColour": "",
        "Comment": "",
        "NameOfGroup": null,
        "YPosition": 0,
        "Folded": false,
        "Font": null,
        "Children": {
          "$type": "ModelMaker.GroupNodeChildCollection, ModelMaker",
          "$values": [
            {
              "$id": "247",
              "$type": "ModelMaker.VariableNode, ModelMaker",
              "RowTotalDependent": null,
              "PutCalculationOnReport": false,
              "CalculateOnThisReport": null,
              "PivotTableLink": null,
              "ExcelNameName": "Average_RCV_PR19",
              "ExcelNameNames": {
                "$type": "ModelMakerEngine.ExcelNameDictionary, ModelMakerEngine",
                "$values": []
              },
              "NumberFormatOverride": null,
              "HasOpeningBalanceFlag": false,
              "OpeningBalanceFlagAppliedName": "",
              "Deletable": true,
              "Comment": "",
              "HasSwitchSignLine": false,
              "SwitchSignForReport": false,
              "MultipleInputValues": null,
              "NonPrimaryInput": false,
              "Max": "NaN",
              "Min": "NaN",
              "IsBalanceButNotCorkscrew": false,
              "IsEditable": true,
              "IsConstant": false,
              "UniqueID": "baf93b2b-a8aa-4d17-a442-f622d34b7fda",
              "Dimensions": {
                "$type": "ModelMakerEngine.MMDimensions, ModelMakerEngine",
                "$values": []
              },
              "EquationOBXInternal": "[Pre-inflation average RCV PR19] * [CPIH factor]",
              "NameOfGroup": "RCV",
              "EquationToParse": "[Pre-inflation average RCV PR19] * [CPIH factor]",
              "MostRecentExpectedUnitErrors": null,
              "Units": {
                "$id": "248",
                "$type": "ModelMaker.Unit, ModelMaker",
                "NumberFormatOverride": null,
                "MatchAnything": false,
                "ExternalRepresentation": "£m",
                "ItemsOnTop": {
                  "$type": "System.Collections.Generic.List`1[[System.String, mscorlib]], mscorlib",
                  "$values": [
                    "£M"
                  ]
                },
                "ItemsOnBottom": {
                  "$type": "System.Collections.Generic.List`1[[System.String, mscorlib]], mscorlib",
                  "$values": []
                },
                "IsCurrency": true,
                "ContainsSMU": false,
                "IsDimensionless": false,
                "InsertRowTotal": true,
                "IgnoreWhenDeterminingExpectedUnits": false
              },
              "Name": "Average RCV PR19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true,
              "UnitsErrorMessage": "",
              "IgnoreUnitIssues": false,
              "IsPlaceholder": false,
              "StandardName": 0,
              "IsStandardNode": false,
              "WarnMessage": null,
              "StandardDescription": null,
              "HasStandardDescription": false,
              "HasStandardName": false,
              "OptimisationNodePair": null,
              "IsOptimisationNode": false,
              "Actuals": null,
              "UDFCode": null,
              "AssociatedOptimisationNodes": null,
              "CustomNamedRange": null,
              "IsRowTotal": false,
              "YPosition": 0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id": "249",
              "$type": "ModelMaker.VariableNode, ModelMaker",
              "RowTotalDependent": null,
              "PutCalculationOnReport": false,
              "CalculateOnThisReport": null,
              "PivotTableLink": null,
              "ExcelNameName": "Run_off_PR19",
              "ExcelNameNames": {
                "$type": "ModelMakerEngine.ExcelNameDictionary, ModelMakerEngine",
                "$values": []
              },
              "NumberFormatOverride": null,
              "HasOpeningBalanceFlag": false,
              "OpeningBalanceFlagAppliedName": "",
              "Deletable": true,
              "Comment": "",
              "HasSwitchSignLine": false,
              "SwitchSignForReport": false,
              "MultipleInputValues": null,
              "NonPrimaryInput": false,
              "Max": "NaN",
              "Min": "NaN",
              "IsBalanceButNotCorkscrew": false,
              "IsEditable": true,
              "IsConstant": false,
              "UniqueID": "78182dc8-f7df-4cc4-9097-80e368d98640",
              "Dimensions": {
                "$type": "ModelMakerEngine.MMDimensions, ModelMakerEngine",
                "$values": []
              },
              "EquationOBXInternal": "[Pre-inflation run off PR19] * [CPIH factor]",
              "NameOfGroup": "RCV",
              "EquationToParse": "[Pre-inflation run off PR19] * [CPIH factor]",
              "MostRecentExpectedUnitErrors": null,
              "Units": {
                "$id": "250",
                "$type": "ModelMaker.Unit, ModelMaker",
                "NumberFormatOverride": null,
                "MatchAnything": false,
                "ExternalRepresentation": "£m",
                "ItemsOnTop": {
                  "$type": "System.Collections.Generic.List`1[[System.String, mscorlib]], mscorlib",
                  "$values": [
                    "£M"
                  ]
                },
                "ItemsOnBottom": {
                  "$type": "System.Collections.Generic.List`1[[System.String, mscorlib]], mscorlib",
                  "$values": []
                },
                "IsCurrency": true,
                "ContainsSMU": false,
                "IsDimensionless": false,
                "InsertRowTotal": true,
                "IgnoreWhenDeterminingExpectedUnits": false
              },
              "Name": "Run off PR19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true,
              "UnitsErrorMessage": "",
              "IgnoreUnitIssues": false,
              "IsPlaceholder": false,
              "StandardName": 0,
              "IsStandardNode": false,
              "WarnMessage": null,
              "StandardDescription": null,
              "HasStandardDescription": false,
              "HasStandardName": false,
              "OptimisationNodePair": null,
              "IsOptimisationNode": false,
              "Actuals": null,
              "UDFCode": null,
              "AssociatedOptimisationNodes": null,
              "CustomNamedRange": null,
              "IsRowTotal": false,
              "YPosition": 1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id": "251",
              "$type": "ModelMaker.VariableNode, ModelMaker",
              "RowTotalDependent": null,
              "PutCalculationOnReport": false,
              "CalculateOnThisReport": null,
              "PivotTableLink": null,
              "ExcelNameName": "Run_off_variance",
              "ExcelNameNames": {
                "$type": "ModelMakerEngine.ExcelNameDictionary, ModelMakerEngine",
                "$values": []
              },
              "NumberFormatOverride": null,
              "HasOpeningBalanceFlag": false,
              "OpeningBalanceFlagAppliedName": "",
              "Deletable": true,
              "Comment": "",
              "HasSwitchSignLine": false,
              "SwitchSignForReport": false,
              "MultipleInputValues": null,
              "NonPrimaryInput": false,
              "Max": "NaN",
              "Min": "NaN",
              "IsBalanceButNotCorkscrew": false,
              "IsEditable": true,
              "IsConstant": false,
              "UniqueID": "8dc3cca4-5f97-4026-b38a-ed2263fe0366",
              "Dimensions": {
                "$type": "ModelMakerEngine.MMDimensions, ModelMakerEngine",
                "$values": []
              },
              "EquationOBXInternal": "[Run off PR24] - [Run off PR19]",
              "NameOfGroup": "RCV",
              "EquationToParse": "[Run off PR24] - [Run off PR19]",
              "MostRecentExpectedUnitErrors": null,
              "Units": {
                "$id": "252",
                "$type": "ModelMaker.Unit, ModelMaker",
                "NumberFormatOverride": null,
                "MatchAnything": false,
                "ExternalRepresentation": "£m",
                "ItemsOnTop": {
                  "$type": "System.Collections.Generic.List`1[[System.String, mscorlib]], mscorlib",
                  "$values": [
                    "£M"
                  ]
                },
                "ItemsOnBottom": {
                  "$type": "System.Collections.Generic.List`1[[System.String, mscorlib]], mscorlib",
                  "$values": []
                },
                "IsCurrency": true,
                "ContainsSMU": false,
                "IsDimensionless": false,
                "InsertRowTotal": true,
                "IgnoreWhenDeterminingExpectedUnits": false
              },
              "Name": "Run off variance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true,
              "UnitsErrorMessage": "",
              "IgnoreUnitIssues": false,
              "IsPlaceholder": false,
              "StandardName": 0,
              "IsStandardNode": false,
              "WarnMessage": null,
              "StandardDescription": null,
              "HasStandardDescription": false,
              "HasStandardName": false,
              "OptimisationNodePair": null,
              "IsOptimisationNode": false,
              "Actuals": null,
              "UDFCode": null,
              "AssociatedOptimisationNodes": null,
              "CustomNamedRange": null,
              "IsRowTotal": false,
              "YPosition": 2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id": "253",
              "$type": "ModelMaker.VariableNode, ModelMaker",
              "RowTotalDependent": null,
              "PutCalculationOnReport": false,
              "CalculateOnThisReport": null,
              "PivotTableLink": null,
              "ExcelNameName": "Effective_run_off_rate_PR19",
              "ExcelNameNames": {
                "$type": "ModelMakerEngine.ExcelNameDictionary, ModelMakerEngine",
                "$values": []
              },
              "NumberFormatOverride": null,
              "HasOpeningBalanceFlag": false,
              "OpeningBalanceFlagAppliedName": "",
              "Deletable": true,
              "Comment": "",
              "HasSwitchSignLine": false,
              "SwitchSignForReport": false,
              "MultipleInputValues": null,
              "NonPrimaryInput": false,
              "Max": "NaN",
              "Min": "NaN",
              "IsBalanceButNotCorkscrew": false,
              "IsEditable": true,
              "IsConstant": false,
              "UniqueID": "32c402f2-9cd2-4ae8-a9fd-4da2ff7213b0",
              "Dimensions": {
                "$type": "ModelMakerEngine.MMDimensions, ModelMakerEngine",
                "$values": []
              },
              "EquationOBXInternal": "[Run off PR19]/[Average RCV PR19]",
              "NameOfGroup": "RCV",
              "EquationToParse": "[Run off PR19]/[Average RCV PR19]",
              "MostRecentExpectedUnitErrors": null,
              "Units": {
                "$id": "254",
                "$type": "ModelMaker.Unit, ModelMaker",
                "NumberFormatOverride": null,
                "MatchAnything": false,
                "ExternalRepresentation": "%",
                "ItemsOnTop": {
                  "$type": "System.Collections.Generic.List`1[[System.String, mscorlib]], mscorlib",
                  "$values": []
                },
                "ItemsOnBottom": {
                  "$type": "System.Collections.Generic.List`1[[System.String, mscorlib]], mscorlib",
                  "$values": []
                },
                "IsCurrency": false,
                "ContainsSMU": false,
                "IsDimensionless": true,
                "InsertRowTotal": true,
                "IgnoreWhenDeterminingExpectedUnits": false
              },
              "Name": "Effective run off rate PR19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true,
              "UnitsErrorMessage": "",
              "IgnoreUnitIssues": false,
              "IsPlaceholder": false,
              "StandardName": 0,
              "IsStandardNode": false,
              "WarnMessage": null,
              "StandardDescription": null,
              "HasStandardDescription": false,
              "HasStandardName": false,
              "OptimisationNodePair": null,
              "IsOptimisationNode": false,
              "Actuals": null,
              "UDFCode": null,
              "AssociatedOptimisationNodes": null,
              "CustomNamedRange": null,
              "IsRowTotal": false,
              "YPosition": 3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id": "255",
              "$type": "ModelMaker.VariableNode, ModelMaker",
              "RowTotalDependent": null,
              "PutCalculationOnReport": false,
              "CalculateOnThisReport": null,
              "PivotTableLink": null,
              "ExcelNameName": "Effective_run_off_rate_PR24",
              "ExcelNameNames": {
                "$type": "ModelMakerEngine.ExcelNameDictionary, ModelMakerEngine",
                "$values": []
              },
              "NumberFormatOverride": null,
              "HasOpeningBalanceFlag": false,
              "OpeningBalanceFlagAppliedName": "",
              "Deletable": true,
              "Comment": "",
              "HasSwitchSignLine": false,
              "SwitchSignForReport": false,
              "MultipleInputValues": null,
              "NonPrimaryInput": false,
              "Max": "NaN",
              "Min": "NaN",
              "IsBalanceButNotCorkscrew": false,
              "IsEditable": true,
              "IsConstant": false,
              "UniqueID": "fa9017a7-c3ef-443f-8e91-362851fa757c",
              "Dimensions": {
                "$type": "ModelMakerEngine.MMDimensions, ModelMakerEngine",
                "$values": []
              },
              "EquationOBXInternal": "[Run off PR24]/[Average RCV PR24]",
              "NameOfGroup": "RCV",
              "EquationToParse": "[Run off PR24]/[Average RCV PR24]",
              "MostRecentExpectedUnitErrors": null,
              "Units": {
                "$id": "256",
                "$type": "ModelMaker.Unit, ModelMaker",
                "NumberFormatOverride": null,
                "MatchAnything": false,
                "ExternalRepresentation": "%",
                "ItemsOnTop": {
                  "$type": "System.Collections.Generic.List`1[[System.String, mscorlib]], mscorlib",
                  "$values": []
                },
                "ItemsOnBottom": {
                  "$type": "System.Collections.Generic.List`1[[System.String, mscorlib]], mscorlib",
                  "$values": []
                },
                "IsCurrency": false,
                "ContainsSMU": false,
                "IsDimensionless": true,
                "InsertRowTotal": true,
                "IgnoreWhenDeterminingExpectedUnits": false
              },
              "Name": "Effective run off rate PR24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true,
              "UnitsErrorMessage": "",
              "IgnoreUnitIssues": false,
              "IsPlaceholder": false,
              "StandardName": 0,
              "IsStandardNode": false,
              "WarnMessage": null,
              "StandardDescription": null,
              "HasStandardDescription": false,
              "HasStandardName": false,
              "OptimisationNodePair": null,
              "IsOptimisationNode": false,
              "Actuals": null,
              "UDFCode": null,
              "AssociatedOptimisationNodes": null,
              "CustomNamedRange": null,
              "IsRowTotal": false,
              "YPosition": 4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id": "257",
              "$type": "ModelMaker.VariableNode, ModelMaker",
              "RowTotalDependent": null,
              "PutCalculationOnReport": false,
              "CalculateOnThisReport": null,
              "PivotTableLink": null,
              "ExcelNameName": "Effective_run_off_rate_variance",
              "ExcelNameNames": {
                "$type": "ModelMakerEngine.ExcelNameDictionary, ModelMakerEngine",
                "$values": []
              },
              "NumberFormatOverride": null,
              "HasOpeningBalanceFlag": false,
              "OpeningBalanceFlagAppliedName": "",
              "Deletable": true,
              "Comment": "",
              "HasSwitchSignLine": false,
              "SwitchSignForReport": false,
              "MultipleInputValues": null,
              "NonPrimaryInput": false,
              "Max": "NaN",
              "Min": "NaN",
              "IsBalanceButNotCorkscrew": false,
              "IsEditable": true,
              "IsConstant": false,
              "UniqueID": "45480247-91b9-4b82-8a6b-fda677a39425",
              "Dimensions": {
                "$type": "ModelMakerEngine.MMDimensions, ModelMakerEngine",
                "$values": []
              },
              "EquationOBXInternal": "[Effective run off rate PR24] - [Effective run off rate PR19]",
              "NameOfGroup": "RCV",
              "EquationToParse": "[Effective run off rate PR24] - [Effective run off rate PR19]",
              "MostRecentExpectedUnitErrors": null,
              "Units": {
                "$id": "258",
                "$type": "ModelMaker.Unit, ModelMaker",
                "NumberFormatOverride": null,
                "MatchAnything": false,
                "ExternalRepresentation": "%",
                "ItemsOnTop": {
                  "$type": "System.Collections.Generic.List`1[[System.String, mscorlib]], mscorlib",
                  "$values": []
                },
                "ItemsOnBottom": {
                  "$type": "System.Collections.Generic.List`1[[System.String, mscorlib]], mscorlib",
                  "$values": []
                },
                "IsCurrency": false,
                "ContainsSMU": false,
                "IsDimensionless": true,
                "InsertRowTotal": true,
                "IgnoreWhenDeterminingExpectedUnits": false
              },
              "Name": "Effective run off rate variance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true,
              "UnitsErrorMessage": "",
              "IgnoreUnitIssues": false,
              "IsPlaceholder": false,
              "StandardName": 0,
              "IsStandardNode": false,
              "WarnMessage": null,
              "StandardDescription": null,
              "HasStandardDescription": false,
              "HasStandardName": false,
              "OptimisationNodePair": null,
              "IsOptimisationNode": false,
              "Actuals": null,
              "UDFCode": null,
              "AssociatedOptimisationNodes": null,
              "CustomNamedRange": null,
              "IsRowTotal": false,
              "YPosition": 5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id": "259",
              "$type": "ModelMaker.VariableNode, ModelMaker",
              "RowTotalDependent": null,
              "PutCalculationOnReport": false,
              "CalculateOnThisReport": null,
              "PivotTableLink": null,
              "ExcelNameName": "Impact_of_run_off_rates",
              "ExcelNameNames": {
                "$type": "ModelMakerEngine.ExcelNameDictionary, ModelMakerEngine",
                "$values": []
              },
              "NumberFormatOverride": null,
              "HasOpeningBalanceFlag": false,
              "OpeningBalanceFlagAppliedName": "",
              "Deletable": true,
              "Comment": "",
              "HasSwitchSignLine": false,
              "SwitchSignForReport": false,
              "MultipleInputValues": null,
              "NonPrimaryInput": false,
              "Max": "NaN",
              "Min": "NaN",
              "IsBalanceButNotCorkscrew": false,
              "IsEditable": true,
              "IsConstant": false,
              "UniqueID": "3a54eccf-3aef-4f91-8f75-74888b029986",
              "Dimensions": {
                "$type": "ModelMakerEngine.MMDimensions, ModelMakerEngine",
                "$values": []
              },
              "EquationOBXInternal": "[Effective run off rate variance] * [Average RCV PR24]",
              "NameOfGroup": "RCV",
              "EquationToParse": "[Effective run off rate variance] * [Average RCV PR24]",
              "MostRecentExpectedUnitErrors": null,
              "Units": {
                "$id": "260",
                "$type": "ModelMaker.Unit, ModelMaker",
                "NumberFormatOverride": null,
                "MatchAnything": false,
                "ExternalRepresentation": "£m",
                "ItemsOnTop": {
                  "$type": "System.Collections.Generic.List`1[[System.String, mscorlib]], mscorlib",
                  "$values": [
                    "£M"
                  ]
                },
                "ItemsOnBottom": {
                  "$type": "System.Collections.Generic.List`1[[System.String, mscorlib]], mscorlib",
                  "$values": []
                },
                "IsCurrency": true,
                "ContainsSMU": false,
                "IsDimensionless": false,
                "InsertRowTotal": true,
                "IgnoreWhenDeterminingExpectedUnits": false
              },
              "Name": "Impact of run off rates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true,
              "UnitsErrorMessage": "",
              "IgnoreUnitIssues": false,
              "IsPlaceholder": false,
              "StandardName": 0,
              "IsStandardNode": false,
              "WarnMessage": null,
              "StandardDescription": null,
              "HasStandardDescription": false,
              "HasStandardName": false,
              "OptimisationNodePair": null,
              "IsOptimisationNode": false,
              "Actuals": null,
              "UDFCode": null,
              "AssociatedOptimisationNodes": null,
              "CustomNamedRange": null,
              "IsRowTotal": false,
              "YPosition": 6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id": "261",
              "$type": "ModelMaker.VariableNode, ModelMaker",
              "RowTotalDependent": null,
              "PutCalculationOnReport": false,
              "CalculateOnThisReport": null,
              "PivotTableLink": null,
              "ExcelNameName": "Impact_of_increased_RCV",
              "ExcelNameNames": {
                "$type": "ModelMakerEngine.ExcelNameDictionary, ModelMakerEngine",
                "$values": []
              },
              "NumberFormatOverride": null,
              "HasOpeningBalanceFlag": false,
              "OpeningBalanceFlagAppliedName": "",
              "Deletable": true,
              "Comment": "",
              "HasSwitchSignLine": false,
              "SwitchSignForReport": false,
              "MultipleInputValues": null,
              "NonPrimaryInput": false,
              "Max": "NaN",
              "Min": "NaN",
              "IsBalanceButNotCorkscrew": false,
              "IsEditable": true,
              "IsConstant": false,
              "UniqueID": "c5755544-c36c-4447-b65b-1430fb22e6a0",
              "Dimensions": {
                "$type": "ModelMakerEngine.MMDimensions, ModelMakerEngine",
                "$values": []
              },
              "EquationOBXInternal": "[Run off variance] - [Impact of run off rates]",
              "NameOfGroup": "RCV",
              "EquationToParse": "[Run off variance] - [Impact of run off rates]",
              "MostRecentExpectedUnitErrors": null,
              "Units": {
                "$id": "262",
                "$type": "ModelMaker.Unit, ModelMaker",
                "NumberFormatOverride": null,
                "MatchAnything": false,
                "ExternalRepresentation": "£m",
                "ItemsOnTop": {
                  "$type": "System.Collections.Generic.List`1[[System.String, mscorlib]], mscorlib",
                  "$values": [
                    "£M"
                  ]
                },
                "ItemsOnBottom": {
                  "$type": "System.Collections.Generic.List`1[[System.String, mscorlib]], mscorlib",
                  "$values": []
                },
                "IsCurrency": true,
                "ContainsSMU": false,
                "IsDimensionless": false,
                "InsertRowTotal": true,
                "IgnoreWhenDeterminingExpectedUnits": false
              },
              "Name": "Impact of increased RCV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true,
              "UnitsErrorMessage": "",
              "IgnoreUnitIssues": false,
              "IsPlaceholder": false,
              "StandardName": 0,
              "IsStandardNode": false,
              "WarnMessage": null,
              "StandardDescription": null,
              "HasStandardDescription": false,
              "HasStandardName": false,
              "OptimisationNodePair": null,
              "IsOptimisationNode": false,
              "Actuals": null,
              "UDFCode": null,
              "AssociatedOptimisationNodes": null,
              "CustomNamedRange": null,
              "IsRowTotal": false,
              "YPosition": 7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id": "263",
              "$type": "ModelMaker.VariableNode, ModelMaker",
              "RowTotalDependent": null,
              "PutCalculationOnReport": false,
              "CalculateOnThisReport": null,
              "PivotTableLink": null,
              "ExcelNameName": "Pre_adjustment_run_off_bill_impact",
              "ExcelNameNames": {
                "$type": "ModelMakerEngine.ExcelNameDictionary, ModelMakerEngine",
                "$values": []
              },
              "NumberFormatOverride": null,
              "HasOpeningBalanceFlag": false,
              "OpeningBalanceFlagAppliedName": "",
              "Deletable": true,
              "Comment": "",
              "HasSwitchSignLine": false,
              "SwitchSignForReport": false,
              "MultipleInputValues": null,
              "NonPrimaryInput": false,
              "Max": "NaN",
              "Min": "NaN",
              "IsBalanceButNotCorkscrew": false,
              "IsEditable": true,
              "IsConstant": false,
              "UniqueID": "7ec4a680-9284-4d1a-baa5-1164c11ff082",
              "Dimensions": {
                "$type": "ModelMakerEngine.MMDimensions, ModelMakerEngine",
                "$values": []
              },
              "EquationOBXInternal": "[Run off variance]/[Total number of households PR24] * [Units in a thousand]",
              "NameOfGroup": "RCV",
              "EquationToParse": "[Run off variance]/[Total number of households PR24] * [Units in a thousand]",
              "MostRecentExpectedUnitErrors": null,
              "Units": {
                "$id": "264",
                "$type": "ModelMaker.Unit, ModelMaker",
                "NumberFormatOverride": null,
                "MatchAnything": false,
                "ExternalRepresentation": "£ / customer",
                "ItemsOnTop": {
                  "$type": "System.Collections.Generic.List`1[[System.String, mscorlib]], mscorlib",
                  "$values": [
                    "£"
                  ]
                },
                "ItemsOnBottom": {
                  "$type": "System.Collections.Generic.List`1[[System.String, mscorlib]], mscorlib",
                  "$values": [
                    "CUSTOMER"
                  ]
                },
                "IsCurrency": true,
                "ContainsSMU": false,
                "IsDimensionless": false,
                "InsertRowTotal": true,
                "IgnoreWhenDeterminingExpectedUnits": false
              },
              "Name": "Pre-adjustment run off bill impact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false,
              "UnitsErrorMessage": "Units should be £M * UNITS/000 CUSTOMERS,  but they are £ / customer",
              "IgnoreUnitIssues": false,
              "IsPlaceholder": false,
              "StandardName": 0,
              "IsStandardNode": false,
              "WarnMessage": null,
              "StandardDescription": null,
              "HasStandardDescription": false,
              "HasStandardName": false,
              "OptimisationNodePair": null,
              "IsOptimisationNode": false,
              "Actuals": null,
              "UDFCode": null,
              "AssociatedOptimisationNodes": null,
              "CustomNamedRange": null,
              "IsRowTotal": false,
              "YPosition": 8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id": "265",
              "$type": "ModelMaker.VariableNode, ModelMaker",
              "RowTotalDependent": null,
              "PutCalculationOnReport": false,
              "CalculateOnThisReport": null,
              "PivotTableLink": null,
              "ExcelNameName": "Run_off_bill_impact",
              "ExcelNameNames": {
                "$type": "ModelMakerEngine.ExcelNameDictionary, ModelMakerEngine",
                "$values": []
              },
              "NumberFormatOverride": null,
              "HasOpeningBalanceFlag": false,
              "OpeningBalanceFlagAppliedName": "",
              "Deletable": true,
              "Comment": "",
              "HasSwitchSignLine": false,
              "SwitchSignForReport": false,
              "MultipleInputValues": null,
              "NonPrimaryInput": false,
              "Max": "NaN",
              "Min": "NaN",
              "IsBalanceButNotCorkscrew": false,
              "IsEditable": true,
              "IsConstant": false,
              "UniqueID": "4e7f2587-4b4e-400c-9e4d-e0204b29f51f",
              "Dimensions": {
                "$type": "ModelMakerEngine.MMDimensions, ModelMakerEngine",
                "$values": []
              },
              "EquationOBXInternal": "[Pre-adjustment run off bill impact] * [Adjustment factor]",
              "NameOfGroup": "RCV",
              "EquationToParse": "[Pre-adjustment run off bill impact] * [Adjustment factor]",
              "MostRecentExpectedUnitErrors": null,
              "Units": {
                "$id": "266",
                "$type": "ModelMaker.Unit, ModelMaker",
                "NumberFormatOverride": null,
                "MatchAnything": false,
                "ExternalRepresentation": "£ / customer",
                "ItemsOnTop": {
                  "$type": "System.Collections.Generic.List`1[[System.String, mscorlib]], mscorlib",
                  "$values": [
                    "£"
                  ]
                },
                "ItemsOnBottom": {
                  "$type": "System.Collections.Generic.List`1[[System.String, mscorlib]], mscorlib",
                  "$values": [
                    "CUSTOMER"
                  ]
                },
                "IsCurrency": true,
                "ContainsSMU": false,
                "IsDimensionless": false,
                "InsertRowTotal": true,
                "IgnoreWhenDeterminingExpectedUnits": false
              },
              "Name": "Run off bill impact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true,
              "UnitsErrorMessage": "",
              "IgnoreUnitIssues": false,
              "IsPlaceholder": false,
              "StandardName": 0,
              "IsStandardNode": false,
              "WarnMessage": null,
              "StandardDescription": null,
              "HasStandardDescription": false,
              "HasStandardName": false,
              "OptimisationNodePair": null,
              "IsOptimisationNode": false,
              "Actuals": null,
              "UDFCode": null,
              "AssociatedOptimisationNodes": null,
              "CustomNamedRange": null,
              "IsRowTotal": false,
              "YPosition": 9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ref": "157"
            },
            {
              "$ref": "160"
            }
          ]
        },
        "AllowAddChildren": true,
        "AllowRemoveChildren": true,
        "IsImported": false,
        "IsChecksGroup": false,
        "IsAlertsGroup": false,
        "IsChecksAndAlertsGroup": false,
        "IsUnallocatedGroup": false,
        "IsInputsGroup": false,
        "IsFlag": false,
        "IsTimeAndFlagsGroup": false,
        "DimensionsAcross": {
          "$type": "ModelMakerEngine.MMDimensions, ModelMakerEngine",
          "$values": []
        },
        "TimeAxis": 0,
        "IndexInParent": 4,
        "Name": "RCV",
        "Parent": {
          "$ref": "1"
        },
        "Visible": true,
        "ToolTip": "",
        "OpeningBalanceFlagAppliedName": "",
        "AllowIncomingLinks": false,
        "AllowOutgoingLinks": fals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true,
        "Issues": null
      },
      {
        "$ref": "26"
      },
      {
        "$ref": "28"
      },
      {
        "$ref": "70"
      },
      {
        "$ref": "51"
      },
      {
        "$ref": "247"
      },
      {
        "$ref": "261"
      },
      {
        "$ref": "251"
      },
      {
        "$ref": "265"
      },
      {
        "$ref": "263"
      },
      {
        "$ref": "24"
      },
      {
        "$ref": "249"
      },
      {
        "$ref": "21"
      },
      {
        "$ref": "22"
      },
      {
        "$ref": "259"
      },
      {
        "$ref": "257"
      },
      {
        "$ref": "255"
      },
      {
        "$ref": "253"
      },
      {
        "$id": "267",
        "$type": "ModelMaker.VariableNode, ModelMaker",
        "RowTotalDependent": null,
        "PutCalculationOnReport": false,
        "CalculateOnThisReport": null,
        "PivotTableLink": null,
        "ExcelNameName": "PAYG_bill_impact",
        "ExcelNameNames": {
          "$type": "ModelMakerEngine.ExcelNameDictionary, ModelMakerEngine",
          "$values": []
        },
        "NumberFormatOverride": null,
        "HasOpeningBalanceFlag": false,
        "OpeningBalanceFlagAppliedName": "",
        "Deletable": true,
        "Comment": "",
        "HasSwitchSignLine": false,
        "SwitchSignForReport": false,
        "MultipleInputValues": null,
        "NonPrimaryInput": false,
        "Max": "NaN",
        "Min": "NaN",
        "IsBalanceButNotCorkscrew": false,
        "IsEditable": true,
        "IsConstant": false,
        "UniqueID": "8e1f58e7-4c9c-4abd-b3f8-39d71d09c0ab",
        "Dimensions": {
          "$type": "ModelMakerEngine.MMDimensions, ModelMakerEngine",
          "$values": []
        },
        "EquationOBXInternal": "[Pre-adjustment PAYG bill impact] * [Adjustment factor]",
        "NameOfGroup": "Unallocated",
        "EquationToParse": "[Pre-adjustment PAYG bill impact] * [Adjustment factor]",
        "MostRecentExpectedUnitErrors": null,
        "Units": {
          "$id": "268",
          "$type": "ModelMaker.Unit, ModelMaker",
          "NumberFormatOverride": null,
          "MatchAnything": false,
          "ExternalRepresentation": "£ / customer",
          "ItemsOnTop": {
            "$type": "System.Collections.Generic.List`1[[System.String, mscorlib]], mscorlib",
            "$values": [
              "£"
            ]
          },
          "ItemsOnBottom": {
            "$type": "System.Collections.Generic.List`1[[System.String, mscorlib]], mscorlib",
            "$values": [
              "CUSTOMER"
            ]
          },
          "IsCurrency": true,
          "ContainsSMU": false,
          "IsDimensionless": false,
          "InsertRowTotal": true,
          "IgnoreWhenDeterminingExpectedUnits": false
        },
        "Name": "PAYG bill impact",
        "ReportLines": {
          "$type": "ModelMaker.UndoableCollection`1[[ModelMakerEngine.IReportLine, ModelMakerEngine]], ModelMaker.Undo",
          "$values": []
        },
        "IsOpeningBalance": false,
        "ExternalLinks": {
          "$type": "UINext.Collections.DeepObservableCollection`1[[ExternalLinks.IExternalDataLink, ExternalLinks]], UINext",
          "$values": []
        },
        "HasUnits": true,
        "UnitsValid": true,
        "UnitsErrorMessage": "",
        "IgnoreUnitIssues": false,
        "IsPlaceholder": false,
        "StandardName": 0,
        "IsStandardNode": false,
        "WarnMessage": null,
        "StandardDescription": null,
        "HasStandardDescription": false,
        "HasStandardName": false,
        "OptimisationNodePair": null,
        "IsOptimisationNode": false,
        "Actuals": null,
        "UDFCode": null,
        "AssociatedOptimisationNodes": null,
        "CustomNamedRange": null,
        "IsRowTotal": false,
        "YPosition": 15,
        "Parent": {
          "$ref": "1"
        },
        "Visible": true,
        "Font": null,
        "AllowIncomingLinks": true,
        "AllowOutgoingLinks": tru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Issues": null
      },
      {
        "$ref": "218"
      },
      {
        "$ref": "43"
      },
      {
        "$ref": "216"
      },
      {
        "$ref": "41"
      },
      {
        "$ref": "215"
      },
      {
        "$id": "269",
        "$type": "ModelMaker.VariableNode, ModelMaker",
        "RowTotalDependent": null,
        "PutCalculationOnReport": false,
        "CalculateOnThisReport": null,
        "PivotTableLink": null,
        "ExcelNameName": "Pre_adjustment_PAYG_bill_impact",
        "ExcelNameNames": {
          "$type": "ModelMakerEngine.ExcelNameDictionary, ModelMakerEngine",
          "$values": []
        },
        "NumberFormatOverride": null,
        "HasOpeningBalanceFlag": false,
        "OpeningBalanceFlagAppliedName": "",
        "Deletable": true,
        "Comment": "",
        "HasSwitchSignLine": false,
        "SwitchSignForReport": false,
        "MultipleInputValues": null,
        "NonPrimaryInput": false,
        "Max": "NaN",
        "Min": "NaN",
        "IsBalanceButNotCorkscrew": false,
        "IsEditable": true,
        "IsConstant": false,
        "UniqueID": "c1bdcfc3-567e-4698-8a98-f96d293c070f",
        "Dimensions": {
          "$type": "ModelMakerEngine.MMDimensions, ModelMakerEngine",
          "$values": []
        },
        "EquationOBXInternal": "[Average PAYG variance]/[Total number of households PR24] * [Units in a thousand]",
        "NameOfGroup": "Totex",
        "EquationToParse": "[Average PAYG variance]/[Total number of households PR24] * [Units in a thousand]",
        "MostRecentExpectedUnitErrors": null,
        "Units": {
          "$id": "270",
          "$type": "ModelMaker.Unit, ModelMaker",
          "NumberFormatOverride": null,
          "MatchAnything": false,
          "ExternalRepresentation": "£ / customer",
          "ItemsOnTop": {
            "$type": "System.Collections.Generic.List`1[[System.String, mscorlib]], mscorlib",
            "$values": [
              "£"
            ]
          },
          "ItemsOnBottom": {
            "$type": "System.Collections.Generic.List`1[[System.String, mscorlib]], mscorlib",
            "$values": [
              "CUSTOMER"
            ]
          },
          "IsCurrency": true,
          "ContainsSMU": false,
          "IsDimensionless": false,
          "InsertRowTotal": true,
          "IgnoreWhenDeterminingExpectedUnits": false
        },
        "Name": "Pre-adjustment PAYG bill impact",
        "ReportLines": {
          "$type": "ModelMaker.UndoableCollection`1[[ModelMakerEngine.IReportLine, ModelMakerEngine]], ModelMaker.Undo",
          "$values": []
        },
        "IsOpeningBalance": false,
        "ExternalLinks": {
          "$type": "UINext.Collections.DeepObservableCollection`1[[ExternalLinks.IExternalDataLink, ExternalLinks]], UINext",
          "$values": []
        },
        "HasUnits": true,
        "UnitsValid": false,
        "UnitsErrorMessage": "Units should be £M * UNITS/000 CUSTOMERS,  but they are £ / customer",
        "IgnoreUnitIssues": false,
        "IsPlaceholder": false,
        "StandardName": 0,
        "IsStandardNode": false,
        "WarnMessage": null,
        "StandardDescription": null,
        "HasStandardDescription": false,
        "HasStandardName": false,
        "OptimisationNodePair": null,
        "IsOptimisationNode": false,
        "Actuals": null,
        "UDFCode": null,
        "AssociatedOptimisationNodes": null,
        "CustomNamedRange": null,
        "IsRowTotal": false,
        "YPosition": 14,
        "Parent": {
          "$ref": "1"
        },
        "Visible": true,
        "Font": null,
        "AllowIncomingLinks": true,
        "AllowOutgoingLinks": tru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Issues": null
      },
      {
        "$id": "271",
        "$type": "ModelMaker.GroupNode, ModelMaker",
        "TabOrHeaderColour": "",
        "Comment": "",
        "NameOfGroup": null,
        "YPosition": 0,
        "Folded": false,
        "Font": null,
        "Children": {
          "$type": "ModelMaker.GroupNodeChildCollection, ModelMaker",
          "$values": [
            {
              "$id": "272",
              "$type": "ModelMaker.VariableNode, ModelMaker",
              "RowTotalDependent": null,
              "PutCalculationOnReport": false,
              "CalculateOnThisReport": null,
              "PivotTableLink": null,
              "ExcelNameName": "Average_totex_PR19",
              "ExcelNameNames": {
                "$type": "ModelMakerEngine.ExcelNameDictionary, ModelMakerEngine",
                "$values": []
              },
              "NumberFormatOverride": null,
              "HasOpeningBalanceFlag": false,
              "OpeningBalanceFlagAppliedName": "",
              "Deletable": true,
              "Comment": "",
              "HasSwitchSignLine": false,
              "SwitchSignForReport": false,
              "MultipleInputValues": null,
              "NonPrimaryInput": false,
              "Max": "NaN",
              "Min": "NaN",
              "IsBalanceButNotCorkscrew": false,
              "IsEditable": true,
              "IsConstant": false,
              "UniqueID": "4780e45c-d213-484d-b4c9-a71490f445ca",
              "Dimensions": {
                "$type": "ModelMakerEngine.MMDimensions, ModelMakerEngine",
                "$values": []
              },
              "EquationOBXInternal": "[Pre-inflation average totex PR19] * [CPIH factor]",
              "NameOfGroup": "Unallocated",
              "EquationToParse": "[Pre-inflation average totex PR19] * [CPIH factor]",
              "MostRecentExpectedUnitErrors": null,
              "Units": {
                "$id": "273",
                "$type": "ModelMaker.Unit, ModelMaker",
                "NumberFormatOverride": null,
                "MatchAnything": false,
                "ExternalRepresentation": "£m",
                "ItemsOnTop": {
                  "$type": "System.Collections.Generic.List`1[[System.String, mscorlib]], mscorlib",
                  "$values": [
                    "£M"
                  ]
                },
                "ItemsOnBottom": {
                  "$type": "System.Collections.Generic.List`1[[System.String, mscorlib]], mscorlib",
                  "$values": []
                },
                "IsCurrency": true,
                "ContainsSMU": false,
                "IsDimensionless": false,
                "InsertRowTotal": true,
                "IgnoreWhenDeterminingExpectedUnits": false
              },
              "Name": "Average totex PR19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true,
              "UnitsErrorMessage": "",
              "IgnoreUnitIssues": false,
              "IsPlaceholder": false,
              "StandardName": 0,
              "IsStandardNode": false,
              "WarnMessage": null,
              "StandardDescription": null,
              "HasStandardDescription": false,
              "HasStandardName": false,
              "OptimisationNodePair": null,
              "IsOptimisationNode": false,
              "Actuals": null,
              "UDFCode": null,
              "AssociatedOptimisationNodes": null,
              "CustomNamedRange": null,
              "IsRowTotal": false,
              "YPosition": 0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id": "274",
              "$type": "ModelMaker.VariableNode, ModelMaker",
              "RowTotalDependent": null,
              "PutCalculationOnReport": false,
              "CalculateOnThisReport": null,
              "PivotTableLink": null,
              "ExcelNameName": "Average_PAYG_PR19",
              "ExcelNameNames": {
                "$type": "ModelMakerEngine.ExcelNameDictionary, ModelMakerEngine",
                "$values": []
              },
              "NumberFormatOverride": null,
              "HasOpeningBalanceFlag": false,
              "OpeningBalanceFlagAppliedName": "",
              "Deletable": true,
              "Comment": "",
              "HasSwitchSignLine": false,
              "SwitchSignForReport": false,
              "MultipleInputValues": null,
              "NonPrimaryInput": false,
              "Max": "NaN",
              "Min": "NaN",
              "IsBalanceButNotCorkscrew": false,
              "IsEditable": true,
              "IsConstant": false,
              "UniqueID": "f539943e-13d9-4c47-8156-423eee3d5cfb",
              "Dimensions": {
                "$type": "ModelMakerEngine.MMDimensions, ModelMakerEngine",
                "$values": []
              },
              "EquationOBXInternal": "[Pre-inflation average PAYG PR19] * [CPIH factor]",
              "NameOfGroup": "Unallocated",
              "EquationToParse": "[Pre-inflation average PAYG PR19] * [CPIH factor]",
              "MostRecentExpectedUnitErrors": null,
              "Units": {
                "$id": "275",
                "$type": "ModelMaker.Unit, ModelMaker",
                "NumberFormatOverride": null,
                "MatchAnything": false,
                "ExternalRepresentation": "£m",
                "ItemsOnTop": {
                  "$type": "System.Collections.Generic.List`1[[System.String, mscorlib]], mscorlib",
                  "$values": [
                    "£M"
                  ]
                },
                "ItemsOnBottom": {
                  "$type": "System.Collections.Generic.List`1[[System.String, mscorlib]], mscorlib",
                  "$values": []
                },
                "IsCurrency": true,
                "ContainsSMU": false,
                "IsDimensionless": false,
                "InsertRowTotal": true,
                "IgnoreWhenDeterminingExpectedUnits": false
              },
              "Name": "Average PAYG PR19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true,
              "UnitsErrorMessage": "",
              "IgnoreUnitIssues": false,
              "IsPlaceholder": false,
              "StandardName": 0,
              "IsStandardNode": false,
              "WarnMessage": null,
              "StandardDescription": null,
              "HasStandardDescription": false,
              "HasStandardName": false,
              "OptimisationNodePair": null,
              "IsOptimisationNode": false,
              "Actuals": null,
              "UDFCode": null,
              "AssociatedOptimisationNodes": null,
              "CustomNamedRange": null,
              "IsRowTotal": false,
              "YPosition": 1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id": "276",
              "$type": "ModelMaker.VariableNode, ModelMaker",
              "RowTotalDependent": null,
              "PutCalculationOnReport": false,
              "CalculateOnThisReport": null,
              "PivotTableLink": null,
              "ExcelNameName": "Average_PAYG_variance",
              "ExcelNameNames": {
                "$type": "ModelMakerEngine.ExcelNameDictionary, ModelMakerEngine",
                "$values": []
              },
              "NumberFormatOverride": null,
              "HasOpeningBalanceFlag": false,
              "OpeningBalanceFlagAppliedName": "",
              "Deletable": true,
              "Comment": "",
              "HasSwitchSignLine": false,
              "SwitchSignForReport": false,
              "MultipleInputValues": null,
              "NonPrimaryInput": false,
              "Max": "NaN",
              "Min": "NaN",
              "IsBalanceButNotCorkscrew": false,
              "IsEditable": true,
              "IsConstant": false,
              "UniqueID": "6a181d45-cfdd-4833-b30c-634183ad0558",
              "Dimensions": {
                "$type": "ModelMakerEngine.MMDimensions, ModelMakerEngine",
                "$values": []
              },
              "EquationOBXInternal": "[Average PAYG PR24] - [Average PAYG PR19]",
              "NameOfGroup": "Unallocated",
              "EquationToParse": "[Average PAYG PR24] - [Average PAYG PR19]",
              "MostRecentExpectedUnitErrors": null,
              "Units": {
                "$id": "277",
                "$type": "ModelMaker.Unit, ModelMaker",
                "NumberFormatOverride": null,
                "MatchAnything": false,
                "ExternalRepresentation": "£m",
                "ItemsOnTop": {
                  "$type": "System.Collections.Generic.List`1[[System.String, mscorlib]], mscorlib",
                  "$values": [
                    "£M"
                  ]
                },
                "ItemsOnBottom": {
                  "$type": "System.Collections.Generic.List`1[[System.String, mscorlib]], mscorlib",
                  "$values": []
                },
                "IsCurrency": true,
                "ContainsSMU": false,
                "IsDimensionless": false,
                "InsertRowTotal": true,
                "IgnoreWhenDeterminingExpectedUnits": false
              },
              "Name": "Average PAYG variance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true,
              "UnitsErrorMessage": "",
              "IgnoreUnitIssues": false,
              "IsPlaceholder": false,
              "StandardName": 0,
              "IsStandardNode": false,
              "WarnMessage": null,
              "StandardDescription": null,
              "HasStandardDescription": false,
              "HasStandardName": false,
              "OptimisationNodePair": null,
              "IsOptimisationNode": false,
              "Actuals": null,
              "UDFCode": null,
              "AssociatedOptimisationNodes": null,
              "CustomNamedRange": null,
              "IsRowTotal": false,
              "YPosition": 2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id": "278",
              "$type": "ModelMaker.VariableNode, ModelMaker",
              "RowTotalDependent": null,
              "PutCalculationOnReport": false,
              "CalculateOnThisReport": null,
              "PivotTableLink": null,
              "ExcelNameName": "Effective_average_PAYG_rate_PR19",
              "ExcelNameNames": {
                "$type": "ModelMakerEngine.ExcelNameDictionary, ModelMakerEngine",
                "$values": []
              },
              "NumberFormatOverride": null,
              "HasOpeningBalanceFlag": false,
              "OpeningBalanceFlagAppliedName": "",
              "Deletable": true,
              "Comment": "",
              "HasSwitchSignLine": false,
              "SwitchSignForReport": false,
              "MultipleInputValues": null,
              "NonPrimaryInput": false,
              "Max": "NaN",
              "Min": "NaN",
              "IsBalanceButNotCorkscrew": false,
              "IsEditable": true,
              "IsConstant": false,
              "UniqueID": "6843727d-2195-4c80-8fb1-6c921de5560d",
              "Dimensions": {
                "$type": "ModelMakerEngine.MMDimensions, ModelMakerEngine",
                "$values": []
              },
              "EquationOBXInternal": "[Average PAYG PR19]/[Average totex PR19]",
              "NameOfGroup": "Unallocated",
              "EquationToParse": "[Average PAYG PR19]/[Average totex PR19]",
              "MostRecentExpectedUnitErrors": null,
              "Units": {
                "$id": "279",
                "$type": "ModelMaker.Unit, ModelMaker",
                "NumberFormatOverride": null,
                "MatchAnything": false,
                "ExternalRepresentation": "%",
                "ItemsOnTop": {
                  "$type": "System.Collections.Generic.List`1[[System.String, mscorlib]], mscorlib",
                  "$values": []
                },
                "ItemsOnBottom": {
                  "$type": "System.Collections.Generic.List`1[[System.String, mscorlib]], mscorlib",
                  "$values": []
                },
                "IsCurrency": false,
                "ContainsSMU": false,
                "IsDimensionless": true,
                "InsertRowTotal": true,
                "IgnoreWhenDeterminingExpectedUnits": false
              },
              "Name": "Effective average PAYG rate PR19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true,
              "UnitsErrorMessage": "",
              "IgnoreUnitIssues": false,
              "IsPlaceholder": false,
              "StandardName": 0,
              "IsStandardNode": false,
              "WarnMessage": null,
              "StandardDescription": null,
              "HasStandardDescription": false,
              "HasStandardName": false,
              "OptimisationNodePair": null,
              "IsOptimisationNode": false,
              "Actuals": null,
              "UDFCode": null,
              "AssociatedOptimisationNodes": null,
              "CustomNamedRange": null,
              "IsRowTotal": false,
              "YPosition": 3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id": "280",
              "$type": "ModelMaker.VariableNode, ModelMaker",
              "RowTotalDependent": null,
              "PutCalculationOnReport": false,
              "CalculateOnThisReport": null,
              "PivotTableLink": null,
              "ExcelNameName": "Effective_average_PAYG_rate_PR24",
              "ExcelNameNames": {
                "$type": "ModelMakerEngine.ExcelNameDictionary, ModelMakerEngine",
                "$values": []
              },
              "NumberFormatOverride": null,
              "HasOpeningBalanceFlag": false,
              "OpeningBalanceFlagAppliedName": "",
              "Deletable": true,
              "Comment": "",
              "HasSwitchSignLine": false,
              "SwitchSignForReport": false,
              "MultipleInputValues": null,
              "NonPrimaryInput": false,
              "Max": "NaN",
              "Min": "NaN",
              "IsBalanceButNotCorkscrew": false,
              "IsEditable": true,
              "IsConstant": false,
              "UniqueID": "21f3d134-97ed-4de6-9e61-f7e859b750dd",
              "Dimensions": {
                "$type": "ModelMakerEngine.MMDimensions, ModelMakerEngine",
                "$values": []
              },
              "EquationOBXInternal": "[Average PAYG PR24]/[Average totex PR24]",
              "NameOfGroup": "Unallocated",
              "EquationToParse": "[Average PAYG PR24]/[Average totex PR24]",
              "MostRecentExpectedUnitErrors": null,
              "Units": {
                "$id": "281",
                "$type": "ModelMaker.Unit, ModelMaker",
                "NumberFormatOverride": null,
                "MatchAnything": false,
                "ExternalRepresentation": "%",
                "ItemsOnTop": {
                  "$type": "System.Collections.Generic.List`1[[System.String, mscorlib]], mscorlib",
                  "$values": []
                },
                "ItemsOnBottom": {
                  "$type": "System.Collections.Generic.List`1[[System.String, mscorlib]], mscorlib",
                  "$values": []
                },
                "IsCurrency": false,
                "ContainsSMU": false,
                "IsDimensionless": true,
                "InsertRowTotal": true,
                "IgnoreWhenDeterminingExpectedUnits": false
              },
              "Name": "Effective average PAYG rate PR24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true,
              "UnitsErrorMessage": "",
              "IgnoreUnitIssues": false,
              "IsPlaceholder": false,
              "StandardName": 0,
              "IsStandardNode": false,
              "WarnMessage": null,
              "StandardDescription": null,
              "HasStandardDescription": false,
              "HasStandardName": false,
              "OptimisationNodePair": null,
              "IsOptimisationNode": false,
              "Actuals": null,
              "UDFCode": null,
              "AssociatedOptimisationNodes": null,
              "CustomNamedRange": null,
              "IsRowTotal": false,
              "YPosition": 4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id": "282",
              "$type": "ModelMaker.VariableNode, ModelMaker",
              "RowTotalDependent": null,
              "PutCalculationOnReport": false,
              "CalculateOnThisReport": null,
              "PivotTableLink": null,
              "ExcelNameName": "Effective_average_PAYG_rate_variance",
              "ExcelNameNames": {
                "$type": "ModelMakerEngine.ExcelNameDictionary, ModelMakerEngine",
                "$values": []
              },
              "NumberFormatOverride": null,
              "HasOpeningBalanceFlag": false,
              "OpeningBalanceFlagAppliedName": "",
              "Deletable": true,
              "Comment": "",
              "HasSwitchSignLine": false,
              "SwitchSignForReport": false,
              "MultipleInputValues": null,
              "NonPrimaryInput": false,
              "Max": "NaN",
              "Min": "NaN",
              "IsBalanceButNotCorkscrew": false,
              "IsEditable": true,
              "IsConstant": false,
              "UniqueID": "8a4cfc70-cc2b-4397-ba46-16b074551d19",
              "Dimensions": {
                "$type": "ModelMakerEngine.MMDimensions, ModelMakerEngine",
                "$values": []
              },
              "EquationOBXInternal": "[Effective average PAYG rate PR24] - [Effective average PAYG rate PR19]",
              "NameOfGroup": "Unallocated",
              "EquationToParse": "[Effective average PAYG rate PR24] - [Effective average PAYG rate PR19]",
              "MostRecentExpectedUnitErrors": null,
              "Units": {
                "$id": "283",
                "$type": "ModelMaker.Unit, ModelMaker",
                "NumberFormatOverride": null,
                "MatchAnything": false,
                "ExternalRepresentation": "%",
                "ItemsOnTop": {
                  "$type": "System.Collections.Generic.List`1[[System.String, mscorlib]], mscorlib",
                  "$values": []
                },
                "ItemsOnBottom": {
                  "$type": "System.Collections.Generic.List`1[[System.String, mscorlib]], mscorlib",
                  "$values": []
                },
                "IsCurrency": false,
                "ContainsSMU": false,
                "IsDimensionless": true,
                "InsertRowTotal": true,
                "IgnoreWhenDeterminingExpectedUnits": false
              },
              "Name": "Effective average PAYG rate variance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true,
              "UnitsErrorMessage": "",
              "IgnoreUnitIssues": false,
              "IsPlaceholder": false,
              "StandardName": 0,
              "IsStandardNode": false,
              "WarnMessage": null,
              "StandardDescription": null,
              "HasStandardDescription": false,
              "HasStandardName": false,
              "OptimisationNodePair": null,
              "IsOptimisationNode": false,
              "Actuals": null,
              "UDFCode": null,
              "AssociatedOptimisationNodes": null,
              "CustomNamedRange": null,
              "IsRowTotal": false,
              "YPosition": 5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id": "284",
              "$type": "ModelMaker.VariableNode, ModelMaker",
              "RowTotalDependent": null,
              "PutCalculationOnReport": false,
              "CalculateOnThisReport": null,
              "PivotTableLink": null,
              "ExcelNameName": "Impact_of_average_PAYG_rates",
              "ExcelNameNames": {
                "$type": "ModelMakerEngine.ExcelNameDictionary, ModelMakerEngine",
                "$values": []
              },
              "NumberFormatOverride": null,
              "HasOpeningBalanceFlag": false,
              "OpeningBalanceFlagAppliedName": "",
              "Deletable": true,
              "Comment": "",
              "HasSwitchSignLine": false,
              "SwitchSignForReport": false,
              "MultipleInputValues": null,
              "NonPrimaryInput": false,
              "Max": "NaN",
              "Min": "NaN",
              "IsBalanceButNotCorkscrew": false,
              "IsEditable": true,
              "IsConstant": false,
              "UniqueID": "5f3be534-f033-4800-9f9f-f57181e05651",
              "Dimensions": {
                "$type": "ModelMakerEngine.MMDimensions, ModelMakerEngine",
                "$values": []
              },
              "EquationOBXInternal": "[Effective average PAYG rate variance] * [Average totex PR24]",
              "NameOfGroup": "Unallocated",
              "EquationToParse": "[Effective average PAYG rate variance] * [Average totex PR24]",
              "MostRecentExpectedUnitErrors": null,
              "Units": {
                "$id": "285",
                "$type": "ModelMaker.Unit, ModelMaker",
                "NumberFormatOverride": null,
                "MatchAnything": false,
                "ExternalRepresentation": "£m",
                "ItemsOnTop": {
                  "$type": "System.Collections.Generic.List`1[[System.String, mscorlib]], mscorlib",
                  "$values": [
                    "£M"
                  ]
                },
                "ItemsOnBottom": {
                  "$type": "System.Collections.Generic.List`1[[System.String, mscorlib]], mscorlib",
                  "$values": []
                },
                "IsCurrency": true,
                "ContainsSMU": false,
                "IsDimensionless": false,
                "InsertRowTotal": true,
                "IgnoreWhenDeterminingExpectedUnits": false
              },
              "Name": "Impact of average PAYG rates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true,
              "UnitsErrorMessage": "",
              "IgnoreUnitIssues": false,
              "IsPlaceholder": false,
              "StandardName": 0,
              "IsStandardNode": false,
              "WarnMessage": null,
              "StandardDescription": null,
              "HasStandardDescription": false,
              "HasStandardName": false,
              "OptimisationNodePair": null,
              "IsOptimisationNode": false,
              "Actuals": null,
              "UDFCode": null,
              "AssociatedOptimisationNodes": null,
              "CustomNamedRange": null,
              "IsRowTotal": false,
              "YPosition": 6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id": "286",
              "$type": "ModelMaker.VariableNode, ModelMaker",
              "RowTotalDependent": null,
              "PutCalculationOnReport": false,
              "CalculateOnThisReport": null,
              "PivotTableLink": null,
              "ExcelNameName": "Impact_of_average_totex_change",
              "ExcelNameNames": {
                "$type": "ModelMakerEngine.ExcelNameDictionary, ModelMakerEngine",
                "$values": []
              },
              "NumberFormatOverride": null,
              "HasOpeningBalanceFlag": false,
              "OpeningBalanceFlagAppliedName": "",
              "Deletable": true,
              "Comment": "",
              "HasSwitchSignLine": false,
              "SwitchSignForReport": false,
              "MultipleInputValues": null,
              "NonPrimaryInput": false,
              "Max": "NaN",
              "Min": "NaN",
              "IsBalanceButNotCorkscrew": false,
              "IsEditable": true,
              "IsConstant": false,
              "UniqueID": "14a2d51e-7357-4b41-a313-b632871c5964",
              "Dimensions": {
                "$type": "ModelMakerEngine.MMDimensions, ModelMakerEngine",
                "$values": []
              },
              "EquationOBXInternal": "[Average PAYG variance] - [Impact of average PAYG rates]",
              "NameOfGroup": "Unallocated",
              "EquationToParse": "[Average PAYG variance] - [Impact of average PAYG rates]",
              "MostRecentExpectedUnitErrors": null,
              "Units": {
                "$id": "287",
                "$type": "ModelMaker.Unit, ModelMaker",
                "NumberFormatOverride": null,
                "MatchAnything": false,
                "ExternalRepresentation": "£m",
                "ItemsOnTop": {
                  "$type": "System.Collections.Generic.List`1[[System.String, mscorlib]], mscorlib",
                  "$values": [
                    "£M"
                  ]
                },
                "ItemsOnBottom": {
                  "$type": "System.Collections.Generic.List`1[[System.String, mscorlib]], mscorlib",
                  "$values": []
                },
                "IsCurrency": true,
                "ContainsSMU": false,
                "IsDimensionless": false,
                "InsertRowTotal": true,
                "IgnoreWhenDeterminingExpectedUnits": false
              },
              "Name": "Impact of average totex change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true,
              "UnitsErrorMessage": "",
              "IgnoreUnitIssues": false,
              "IsPlaceholder": false,
              "StandardName": 0,
              "IsStandardNode": false,
              "WarnMessage": null,
              "StandardDescription": null,
              "HasStandardDescription": false,
              "HasStandardName": false,
              "OptimisationNodePair": null,
              "IsOptimisationNode": false,
              "Actuals": null,
              "UDFCode": null,
              "AssociatedOptimisationNodes": null,
              "CustomNamedRange": null,
              "IsRowTotal": false,
              "YPosition": 7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id": "288",
              "$type": "ModelMaker.VariableNode, ModelMaker",
              "RowTotalDependent": null,
              "PutCalculationOnReport": false,
              "CalculateOnThisReport": null,
              "PivotTableLink": null,
              "ExcelNameName": "Average_profiled_allowed_revenue_PR19",
              "ExcelNameNames": {
                "$type": "ModelMakerEngine.ExcelNameDictionary, ModelMakerEngine",
                "$values": []
              },
              "NumberFormatOverride": null,
              "HasOpeningBalanceFlag": false,
              "OpeningBalanceFlagAppliedName": "",
              "Deletable": true,
              "Comment": "",
              "HasSwitchSignLine": false,
              "SwitchSignForReport": false,
              "MultipleInputValues": null,
              "NonPrimaryInput": false,
              "Max": "NaN",
              "Min": "NaN",
              "IsBalanceButNotCorkscrew": false,
              "IsEditable": true,
              "IsConstant": false,
              "UniqueID": "558860bb-6508-4ffe-b555-bd66a219ffe3",
              "Dimensions": {
                "$type": "ModelMakerEngine.MMDimensions, ModelMakerEngine",
                "$values": []
              },
              "EquationOBXInternal": "[Pre-inflation average profiled allowed revenue PR19] * [CPIH factor]",
              "NameOfGroup": "Unallocated",
              "EquationToParse": "[Pre-inflation average profiled allowed revenue PR19] * [CPIH factor]",
              "MostRecentExpectedUnitErrors": null,
              "Units": {
                "$id": "289",
                "$type": "ModelMaker.Unit, ModelMaker",
                "NumberFormatOverride": null,
                "MatchAnything": false,
                "ExternalRepresentation": "£m",
                "ItemsOnTop": {
                  "$type": "System.Collections.Generic.List`1[[System.String, mscorlib]], mscorlib",
                  "$values": [
                    "£M"
                  ]
                },
                "ItemsOnBottom": {
                  "$type": "System.Collections.Generic.List`1[[System.String, mscorlib]], mscorlib",
                  "$values": []
                },
                "IsCurrency": true,
                "ContainsSMU": false,
                "IsDimensionless": false,
                "InsertRowTotal": true,
                "IgnoreWhenDeterminingExpectedUnits": false
              },
              "Name": "Average profiled allowed revenue PR19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true,
              "UnitsErrorMessage": "",
              "IgnoreUnitIssues": false,
              "IsPlaceholder": false,
              "StandardName": 0,
              "IsStandardNode": false,
              "WarnMessage": null,
              "StandardDescription": null,
              "HasStandardDescription": false,
              "HasStandardName": false,
              "OptimisationNodePair": null,
              "IsOptimisationNode": false,
              "Actuals": null,
              "UDFCode": null,
              "AssociatedOptimisationNodes": null,
              "CustomNamedRange": null,
              "IsRowTotal": false,
              "YPosition": 8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id": "290",
              "$type": "ModelMaker.VariableNode, ModelMaker",
              "RowTotalDependent": null,
              "PutCalculationOnReport": false,
              "CalculateOnThisReport": null,
              "PivotTableLink": null,
              "ExcelNameName": "Average_profiled_allowed_revenues_variance_per_customer",
              "ExcelNameNames": {
                "$type": "ModelMakerEngine.ExcelNameDictionary, ModelMakerEngine",
                "$values": []
              },
              "NumberFormatOverride": null,
              "HasOpeningBalanceFlag": false,
              "OpeningBalanceFlagAppliedName": "",
              "Deletable": true,
              "Comment": "",
              "HasSwitchSignLine": false,
              "SwitchSignForReport": false,
              "MultipleInputValues": null,
              "NonPrimaryInput": false,
              "Max": "NaN",
              "Min": "NaN",
              "IsBalanceButNotCorkscrew": false,
              "IsEditable": true,
              "IsConstant": false,
              "UniqueID": "2d2cb073-1944-4e85-ab1f-029423fd35d3",
              "Dimensions": {
                "$type": "ModelMakerEngine.MMDimensions, ModelMakerEngine",
                "$values": []
              },
              "EquationOBXInternal": "([Average profiled allowed revenue PR24] - [Average profiled allowed revenue PR19])/[Total number of households PR24] * [Units in a thousand]",
              "NameOfGroup": "Unallocated",
              "EquationToParse": "([Average profiled allowed revenue PR24] - [Average profiled allowed revenue PR19])/[Total number of households PR24] * [Units in a thousand]",
              "MostRecentExpectedUnitErrors": null,
              "Units": {
                "$id": "291",
                "$type": "ModelMaker.Unit, ModelMaker",
                "NumberFormatOverride": null,
                "MatchAnything": false,
                "ExternalRepresentation": "£ / customer",
                "ItemsOnTop": {
                  "$type": "System.Collections.Generic.List`1[[System.String, mscorlib]], mscorlib",
                  "$values": [
                    "£"
                  ]
                },
                "ItemsOnBottom": {
                  "$type": "System.Collections.Generic.List`1[[System.String, mscorlib]], mscorlib",
                  "$values": [
                    "CUSTOMER"
                  ]
                },
                "IsCurrency": true,
                "ContainsSMU": false,
                "IsDimensionless": false,
                "InsertRowTotal": true,
                "IgnoreWhenDeterminingExpectedUnits": false
              },
              "Name": "Average profiled allowed revenues variance per customer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false,
              "UnitsErrorMessage": "Units should be £M * UNITS/000 CUSTOMERS,  but they are £ / customer",
              "IgnoreUnitIssues": false,
              "IsPlaceholder": false,
              "StandardName": 0,
              "IsStandardNode": false,
              "WarnMessage": null,
              "StandardDescription": null,
              "HasStandardDescription": false,
              "HasStandardName": false,
              "OptimisationNodePair": null,
              "IsOptimisationNode": false,
              "Actuals": null,
              "UDFCode": null,
              "AssociatedOptimisationNodes": null,
              "CustomNamedRange": null,
              "IsRowTotal": false,
              "YPosition": 9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id": "292",
              "$type": "ModelMaker.VariableNode, ModelMaker",
              "RowTotalDependent": null,
              "PutCalculationOnReport": false,
              "CalculateOnThisReport": null,
              "PivotTableLink": null,
              "ExcelNameName": "Average_adjustment_factor",
              "ExcelNameNames": {
                "$type": "ModelMakerEngine.ExcelNameDictionary, ModelMakerEngine",
                "$values": []
              },
              "NumberFormatOverride": null,
              "HasOpeningBalanceFlag": false,
              "OpeningBalanceFlagAppliedName": "",
              "Deletable": true,
              "Comment": "",
              "HasSwitchSignLine": false,
              "SwitchSignForReport": false,
              "MultipleInputValues": null,
              "NonPrimaryInput": false,
              "Max": "NaN",
              "Min": "NaN",
              "IsBalanceButNotCorkscrew": false,
              "IsEditable": true,
              "IsConstant": false,
              "UniqueID": "7ad5d39f-d312-4854-bfeb-7db77ca7ace2",
              "Dimensions": {
                "$type": "ModelMakerEngine.MMDimensions, ModelMakerEngine",
                "$values": []
              },
              "EquationOBXInternal": "[Wholesale bill impact]/[Average profiled allowed revenues variance per customer]",
              "NameOfGroup": "Unallocated",
              "EquationToParse": "[Wholesale bill impact]/[Average profiled allowed revenues variance per customer]",
              "MostRecentExpectedUnitErrors": null,
              "Units": {
                "$id": "293",
                "$type": "ModelMaker.Unit, ModelMaker",
                "NumberFormatOverride": null,
                "MatchAnything": false,
                "ExternalRepresentation": "factor",
                "ItemsOnTop": {
                  "$type": "System.Collections.Generic.List`1[[System.String, mscorlib]], mscorlib",
                  "$values": []
                },
                "ItemsOnBottom": {
                  "$type": "System.Collections.Generic.List`1[[System.String, mscorlib]], mscorlib",
                  "$values": []
                },
                "IsCurrency": false,
                "ContainsSMU": false,
                "IsDimensionless": false,
                "InsertRowTotal": true,
                "IgnoreWhenDeterminingExpectedUnits": false
              },
              "Name": "Average adjustment factor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true,
              "UnitsErrorMessage": "",
              "IgnoreUnitIssues": false,
              "IsPlaceholder": false,
              "StandardName": 0,
              "IsStandardNode": false,
              "WarnMessage": null,
              "StandardDescription": null,
              "HasStandardDescription": false,
              "HasStandardName": false,
              "OptimisationNodePair": null,
              "IsOptimisationNode": false,
              "Actuals": null,
              "UDFCode": null,
              "AssociatedOptimisationNodes": null,
              "CustomNamedRange": null,
              "IsRowTotal": false,
              "YPosition": 10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id": "294",
              "$type": "ModelMaker.VariableNode, ModelMaker",
              "RowTotalDependent": null,
              "PutCalculationOnReport": false,
              "CalculateOnThisReport": null,
              "PivotTableLink": null,
              "ExcelNameName": "Pre_adjustment_average_PAYG_bill_impact",
              "ExcelNameNames": {
                "$type": "ModelMakerEngine.ExcelNameDictionary, ModelMakerEngine",
                "$values": []
              },
              "NumberFormatOverride": null,
              "HasOpeningBalanceFlag": false,
              "OpeningBalanceFlagAppliedName": "",
              "Deletable": true,
              "Comment": "",
              "HasSwitchSignLine": false,
              "SwitchSignForReport": false,
              "MultipleInputValues": null,
              "NonPrimaryInput": false,
              "Max": "NaN",
              "Min": "NaN",
              "IsBalanceButNotCorkscrew": false,
              "IsEditable": true,
              "IsConstant": false,
              "UniqueID": "0a37dd04-894f-408f-b755-96a490945562",
              "Dimensions": {
                "$type": "ModelMakerEngine.MMDimensions, ModelMakerEngine",
                "$values": []
              },
              "EquationOBXInternal": "[Average PAYG variance]/[Total number of households PR24] * [Units in a thousand]",
              "NameOfGroup": "Unallocated",
              "EquationToParse": "[Average PAYG variance]/[Total number of households PR24] * [Units in a thousand]",
              "MostRecentExpectedUnitErrors": null,
              "Units": {
                "$id": "295",
                "$type": "ModelMaker.Unit, ModelMaker",
                "NumberFormatOverride": null,
                "MatchAnything": false,
                "ExternalRepresentation": "£ / customer",
                "ItemsOnTop": {
                  "$type": "System.Collections.Generic.List`1[[System.String, mscorlib]], mscorlib",
                  "$values": [
                    "£"
                  ]
                },
                "ItemsOnBottom": {
                  "$type": "System.Collections.Generic.List`1[[System.String, mscorlib]], mscorlib",
                  "$values": [
                    "CUSTOMER"
                  ]
                },
                "IsCurrency": true,
                "ContainsSMU": false,
                "IsDimensionless": false,
                "InsertRowTotal": true,
                "IgnoreWhenDeterminingExpectedUnits": false
              },
              "Name": "Pre-adjustment average PAYG bill impact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false,
              "UnitsErrorMessage": "Units should be £M * UNITS/000 CUSTOMERS,  but they are £ / customer",
              "IgnoreUnitIssues": false,
              "IsPlaceholder": false,
              "StandardName": 0,
              "IsStandardNode": false,
              "WarnMessage": null,
              "StandardDescription": null,
              "HasStandardDescription": false,
              "HasStandardName": false,
              "OptimisationNodePair": null,
              "IsOptimisationNode": false,
              "Actuals": null,
              "UDFCode": null,
              "AssociatedOptimisationNodes": null,
              "CustomNamedRange": null,
              "IsRowTotal": false,
              "YPosition": 11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id": "296",
              "$type": "ModelMaker.VariableNode, ModelMaker",
              "RowTotalDependent": null,
              "PutCalculationOnReport": false,
              "CalculateOnThisReport": null,
              "PivotTableLink": null,
              "ExcelNameName": "Average_PAYG_bill_impact",
              "ExcelNameNames": {
                "$type": "ModelMakerEngine.ExcelNameDictionary, ModelMakerEngine",
                "$values": []
              },
              "NumberFormatOverride": null,
              "HasOpeningBalanceFlag": false,
              "OpeningBalanceFlagAppliedName": "",
              "Deletable": true,
              "Comment": "",
              "HasSwitchSignLine": false,
              "SwitchSignForReport": false,
              "MultipleInputValues": null,
              "NonPrimaryInput": false,
              "Max": "NaN",
              "Min": "NaN",
              "IsBalanceButNotCorkscrew": false,
              "IsEditable": true,
              "IsConstant": false,
              "UniqueID": "365a6fcf-6955-4812-8fcc-9380f61f4f50",
              "Dimensions": {
                "$type": "ModelMakerEngine.MMDimensions, ModelMakerEngine",
                "$values": []
              },
              "EquationOBXInternal": "[Pre-adjustment average PAYG bill impact] * [Average adjustment factor] ",
              "NameOfGroup": "Unallocated",
              "EquationToParse": "[Pre-adjustment average PAYG bill impact] * [Average adjustment factor] ",
              "MostRecentExpectedUnitErrors": null,
              "Units": {
                "$id": "297",
                "$type": "ModelMaker.Unit, ModelMaker",
                "NumberFormatOverride": null,
                "MatchAnything": false,
                "ExternalRepresentation": "£ / customer",
                "ItemsOnTop": {
                  "$type": "System.Collections.Generic.List`1[[System.String, mscorlib]], mscorlib",
                  "$values": [
                    "£"
                  ]
                },
                "ItemsOnBottom": {
                  "$type": "System.Collections.Generic.List`1[[System.String, mscorlib]], mscorlib",
                  "$values": [
                    "CUSTOMER"
                  ]
                },
                "IsCurrency": true,
                "ContainsSMU": false,
                "IsDimensionless": false,
                "InsertRowTotal": true,
                "IgnoreWhenDeterminingExpectedUnits": false
              },
              "Name": "Average PAYG bill impact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true,
              "UnitsErrorMessage": "",
              "IgnoreUnitIssues": false,
              "IsPlaceholder": false,
              "StandardName": 0,
              "IsStandardNode": false,
              "WarnMessage": null,
              "StandardDescription": null,
              "HasStandardDescription": false,
              "HasStandardName": false,
              "OptimisationNodePair": null,
              "IsOptimisationNode": false,
              "Actuals": null,
              "UDFCode": null,
              "AssociatedOptimisationNodes": null,
              "CustomNamedRange": null,
              "IsRowTotal": false,
              "YPosition": 12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ref": "146"
            },
            {
              "$ref": "269"
            },
            {
              "$ref": "267"
            },
            {
              "$ref": "153"
            }
          ]
        },
        "AllowAddChildren": true,
        "AllowRemoveChildren": true,
        "IsImported": false,
        "IsChecksGroup": false,
        "IsAlertsGroup": false,
        "IsChecksAndAlertsGroup": false,
        "IsUnallocatedGroup": false,
        "IsInputsGroup": false,
        "IsFlag": false,
        "IsTimeAndFlagsGroup": false,
        "DimensionsAcross": {
          "$type": "ModelMakerEngine.MMDimensions, ModelMakerEngine",
          "$values": []
        },
        "TimeAxis": 0,
        "IndexInParent": 3,
        "Name": "Totex",
        "Parent": {
          "$ref": "1"
        },
        "Visible": true,
        "ToolTip": "",
        "OpeningBalanceFlagAppliedName": "",
        "AllowIncomingLinks": false,
        "AllowOutgoingLinks": fals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true,
        "Issues": null
      },
      {
        "$ref": "8"
      },
      {
        "$id": "298",
        "$type": "ModelMaker.GroupNode, ModelMaker",
        "TabOrHeaderColour": "",
        "Comment": "",
        "NameOfGroup": null,
        "YPosition": 0,
        "Folded": false,
        "Font": null,
        "Children": {
          "$type": "ModelMaker.GroupNodeChildCollection, ModelMaker",
          "$values": []
        },
        "AllowAddChildren": true,
        "AllowRemoveChildren": true,
        "IsImported": false,
        "IsChecksGroup": true,
        "IsAlertsGroup": false,
        "IsChecksAndAlertsGroup": false,
        "IsUnallocatedGroup": false,
        "IsInputsGroup": false,
        "IsFlag": false,
        "IsTimeAndFlagsGroup": false,
        "DimensionsAcross": {
          "$type": "ModelMakerEngine.MMDimensions, ModelMakerEngine",
          "$values": []
        },
        "TimeAxis": 0,
        "IndexInParent": -1,
        "Name": "Model Checks",
        "Parent": {
          "$ref": "1"
        },
        "Visible": true,
        "ToolTip": "",
        "OpeningBalanceFlagAppliedName": "",
        "AllowIncomingLinks": false,
        "AllowOutgoingLinks": fals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false,
        "Issues": null
      },
      {
        "$id": "299",
        "$type": "ModelMaker.GroupNode, ModelMaker",
        "TabOrHeaderColour": "",
        "Comment": "",
        "NameOfGroup": null,
        "YPosition": 0,
        "Folded": false,
        "Font": null,
        "Children": {
          "$type": "ModelMaker.GroupNodeChildCollection, ModelMaker",
          "$values": []
        },
        "AllowAddChildren": true,
        "AllowRemoveChildren": true,
        "IsImported": false,
        "IsChecksGroup": false,
        "IsAlertsGroup": true,
        "IsChecksAndAlertsGroup": false,
        "IsUnallocatedGroup": false,
        "IsInputsGroup": false,
        "IsFlag": false,
        "IsTimeAndFlagsGroup": false,
        "DimensionsAcross": {
          "$type": "ModelMakerEngine.MMDimensions, ModelMakerEngine",
          "$values": []
        },
        "TimeAxis": 0,
        "IndexInParent": -1,
        "Name": "Model Alerts",
        "Parent": {
          "$ref": "1"
        },
        "Visible": true,
        "ToolTip": "",
        "OpeningBalanceFlagAppliedName": "",
        "AllowIncomingLinks": false,
        "AllowOutgoingLinks": fals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false,
        "Issues": null
      },
      {
        "$ref": "30"
      },
      {
        "$ref": "83"
      },
      {
        "$ref": "286"
      },
      {
        "$ref": "296"
      },
      {
        "$ref": "276"
      },
      {
        "$ref": "15"
      },
      {
        "$ref": "274"
      },
      {
        "$ref": "294"
      },
      {
        "$ref": "292"
      },
      {
        "$ref": "290"
      },
      {
        "$ref": "19"
      },
      {
        "$ref": "288"
      },
      {
        "$ref": "13"
      },
      {
        "$ref": "17"
      },
      {
        "$ref": "284"
      },
      {
        "$ref": "282"
      },
      {
        "$ref": "11"
      },
      {
        "$ref": "280"
      },
      {
        "$ref": "278"
      },
      {
        "$ref": "272"
      },
      {
        "$ref": "9"
      },
      {
        "$ref": "245"
      },
      {
        "$id": "300",
        "$type": "ModelMaker.VariableNode, ModelMaker",
        "RowTotalDependent": null,
        "PutCalculationOnReport": false,
        "CalculateOnThisReport": null,
        "PivotTableLink": null,
        "ExcelNameName": "Base_expenditure_proportion",
        "ExcelNameNames": {
          "$type": "ModelMakerEngine.ExcelNameDictionary, ModelMakerEngine",
          "$values": []
        },
        "NumberFormatOverride": null,
        "HasOpeningBalanceFlag": false,
        "OpeningBalanceFlagAppliedName": "",
        "Deletable": true,
        "Comment": "",
        "HasSwitchSignLine": false,
        "SwitchSignForReport": false,
        "MultipleInputValues": null,
        "NonPrimaryInput": false,
        "Max": "NaN",
        "Min": "NaN",
        "IsBalanceButNotCorkscrew": false,
        "IsEditable": true,
        "IsConstant": true,
        "UniqueID": "0adc5419-f326-45d4-b8c3-be44fefd38e8",
        "Dimensions": {
          "$type": "ModelMakerEngine.MMDimensions, ModelMakerEngine",
          "$values": []
        },
        "EquationOBXInternal": "IF([Total expenditure category delta]=0,0,[Base expenditure delta]/[Total expenditure category delta])",
        "NameOfGroup": "Inputs.Costs breakdown",
        "EquationToParse": "IF([Total expenditure category delta]=0,0,[Base expenditure delta]/[Total expenditure category delta])",
        "MostRecentExpectedUnitErrors": null,
        "Units": {
          "$id": "301",
          "$type": "ModelMaker.Unit, ModelMaker",
          "NumberFormatOverride": null,
          "MatchAnything": false,
          "ExternalRepresentation": "factor",
          "ItemsOnTop": {
            "$type": "System.Collections.Generic.List`1[[System.String, mscorlib]], mscorlib",
            "$values": []
          },
          "ItemsOnBottom": {
            "$type": "System.Collections.Generic.List`1[[System.String, mscorlib]], mscorlib",
            "$values": []
          },
          "IsCurrency": false,
          "ContainsSMU": false,
          "IsDimensionless": false,
          "InsertRowTotal": true,
          "IgnoreWhenDeterminingExpectedUnits": false
        },
        "Name": "Base expenditure proportion",
        "ReportLines": {
          "$type": "ModelMaker.UndoableCollection`1[[ModelMakerEngine.IReportLine, ModelMakerEngine]], ModelMaker.Undo",
          "$values": []
        },
        "IsOpeningBalance": false,
        "ExternalLinks": {
          "$type": "UINext.Collections.DeepObservableCollection`1[[ExternalLinks.IExternalDataLink, ExternalLinks]], UINext",
          "$values": []
        },
        "HasUnits": true,
        "UnitsValid": true,
        "UnitsErrorMessage": "",
        "IgnoreUnitIssues": false,
        "IsPlaceholder": false,
        "StandardName": 0,
        "IsStandardNode": false,
        "WarnMessage": null,
        "StandardDescription": null,
        "HasStandardDescription": false,
        "HasStandardName": false,
        "OptimisationNodePair": null,
        "IsOptimisationNode": false,
        "Actuals": null,
        "UDFCode": null,
        "AssociatedOptimisationNodes": null,
        "CustomNamedRange": null,
        "IsRowTotal": false,
        "YPosition": 0,
        "Parent": {
          "$ref": "1"
        },
        "Visible": true,
        "Font": null,
        "AllowIncomingLinks": true,
        "AllowOutgoingLinks": tru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Issues": null
      },
      {
        "$id": "302",
        "$type": "ModelMaker.VariableNode, ModelMaker",
        "RowTotalDependent": null,
        "PutCalculationOnReport": false,
        "CalculateOnThisReport": null,
        "PivotTableLink": null,
        "ExcelNameName": "Storm_overflows_proportion",
        "ExcelNameNames": {
          "$type": "ModelMakerEngine.ExcelNameDictionary, ModelMakerEngine",
          "$values": []
        },
        "NumberFormatOverride": null,
        "HasOpeningBalanceFlag": false,
        "OpeningBalanceFlagAppliedName": "",
        "Deletable": true,
        "Comment": "",
        "HasSwitchSignLine": false,
        "SwitchSignForReport": false,
        "MultipleInputValues": null,
        "NonPrimaryInput": false,
        "Max": "NaN",
        "Min": "NaN",
        "IsBalanceButNotCorkscrew": false,
        "IsEditable": true,
        "IsConstant": true,
        "UniqueID": "73ae220f-4484-43a4-bf4c-d345c3143337",
        "Dimensions": {
          "$type": "ModelMakerEngine.MMDimensions, ModelMakerEngine",
          "$values": []
        },
        "EquationOBXInternal": "IF([Total expenditure category delta]=0,0,[Storm overflows delta]/[Total expenditure category delta])",
        "NameOfGroup": "Inputs.Costs breakdown",
        "EquationToParse": "IF([Total expenditure category delta]=0,0,[Storm overflows delta]/[Total expenditure category delta])",
        "MostRecentExpectedUnitErrors": null,
        "Units": {
          "$ref": "301"
        },
        "Name": "Storm overflows proportion",
        "ReportLines": {
          "$type": "ModelMaker.UndoableCollection`1[[ModelMakerEngine.IReportLine, ModelMakerEngine]], ModelMaker.Undo",
          "$values": []
        },
        "IsOpeningBalance": false,
        "ExternalLinks": {
          "$type": "UINext.Collections.DeepObservableCollection`1[[ExternalLinks.IExternalDataLink, ExternalLinks]], UINext",
          "$values": []
        },
        "HasUnits": true,
        "UnitsValid": true,
        "UnitsErrorMessage": "",
        "IgnoreUnitIssues": false,
        "IsPlaceholder": false,
        "StandardName": 0,
        "IsStandardNode": false,
        "WarnMessage": null,
        "StandardDescription": null,
        "HasStandardDescription": false,
        "HasStandardName": false,
        "OptimisationNodePair": null,
        "IsOptimisationNode": false,
        "Actuals": null,
        "UDFCode": null,
        "AssociatedOptimisationNodes": null,
        "CustomNamedRange": null,
        "IsRowTotal": false,
        "YPosition": 1,
        "Parent": {
          "$ref": "1"
        },
        "Visible": true,
        "Font": null,
        "AllowIncomingLinks": true,
        "AllowOutgoingLinks": tru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Issues": null
      },
      {
        "$id": "303",
        "$type": "ModelMaker.VariableNode, ModelMaker",
        "RowTotalDependent": null,
        "PutCalculationOnReport": false,
        "CalculateOnThisReport": null,
        "PivotTableLink": null,
        "ExcelNameName": "Nutrient_removal_proportion",
        "ExcelNameNames": {
          "$type": "ModelMakerEngine.ExcelNameDictionary, ModelMakerEngine",
          "$values": []
        },
        "NumberFormatOverride": null,
        "HasOpeningBalanceFlag": false,
        "OpeningBalanceFlagAppliedName": "",
        "Deletable": true,
        "Comment": "",
        "HasSwitchSignLine": false,
        "SwitchSignForReport": false,
        "MultipleInputValues": null,
        "NonPrimaryInput": false,
        "Max": "NaN",
        "Min": "NaN",
        "IsBalanceButNotCorkscrew": false,
        "IsEditable": true,
        "IsConstant": true,
        "UniqueID": "bb3ddd2c-f66c-4a02-9a33-062637a00e51",
        "Dimensions": {
          "$type": "ModelMakerEngine.MMDimensions, ModelMakerEngine",
          "$values": []
        },
        "EquationOBXInternal": "IF([Total expenditure category delta]=0,0,[Nutrient removal delta]/[Total expenditure category delta])",
        "NameOfGroup": "Inputs.Costs breakdown",
        "EquationToParse": "IF([Total expenditure category delta]=0,0,[Nutrient removal delta]/[Total expenditure category delta])",
        "MostRecentExpectedUnitErrors": null,
        "Units": {
          "$ref": "301"
        },
        "Name": "Nutrient removal proportion",
        "ReportLines": {
          "$type": "ModelMaker.UndoableCollection`1[[ModelMakerEngine.IReportLine, ModelMakerEngine]], ModelMaker.Undo",
          "$values": []
        },
        "IsOpeningBalance": false,
        "ExternalLinks": {
          "$type": "UINext.Collections.DeepObservableCollection`1[[ExternalLinks.IExternalDataLink, ExternalLinks]], UINext",
          "$values": []
        },
        "HasUnits": true,
        "UnitsValid": true,
        "UnitsErrorMessage": "",
        "IgnoreUnitIssues": false,
        "IsPlaceholder": false,
        "StandardName": 0,
        "IsStandardNode": false,
        "WarnMessage": null,
        "StandardDescription": null,
        "HasStandardDescription": false,
        "HasStandardName": false,
        "OptimisationNodePair": null,
        "IsOptimisationNode": false,
        "Actuals": null,
        "UDFCode": null,
        "AssociatedOptimisationNodes": null,
        "CustomNamedRange": null,
        "IsRowTotal": false,
        "YPosition": 2,
        "Parent": {
          "$ref": "1"
        },
        "Visible": true,
        "Font": null,
        "AllowIncomingLinks": true,
        "AllowOutgoingLinks": tru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Issues": null
      },
      {
        "$id": "304",
        "$type": "ModelMaker.VariableNode, ModelMaker",
        "RowTotalDependent": null,
        "PutCalculationOnReport": false,
        "CalculateOnThisReport": null,
        "PivotTableLink": null,
        "ExcelNameName": "Other_environmental_proportion",
        "ExcelNameNames": {
          "$type": "ModelMakerEngine.ExcelNameDictionary, ModelMakerEngine",
          "$values": []
        },
        "NumberFormatOverride": null,
        "HasOpeningBalanceFlag": false,
        "OpeningBalanceFlagAppliedName": "",
        "Deletable": true,
        "Comment": "",
        "HasSwitchSignLine": false,
        "SwitchSignForReport": false,
        "MultipleInputValues": null,
        "NonPrimaryInput": false,
        "Max": "NaN",
        "Min": "NaN",
        "IsBalanceButNotCorkscrew": false,
        "IsEditable": true,
        "IsConstant": true,
        "UniqueID": "5dff9f3b-3587-4b41-8566-a67400fb470e",
        "Dimensions": {
          "$type": "ModelMakerEngine.MMDimensions, ModelMakerEngine",
          "$values": []
        },
        "EquationOBXInternal": "IF([Total expenditure category delta]=0,0,[Other environmental delta]/[Total expenditure category delta])",
        "NameOfGroup": "Inputs.Costs breakdown",
        "EquationToParse": "IF([Total expenditure category delta]=0,0,[Other environmental delta]/[Total expenditure category delta])",
        "MostRecentExpectedUnitErrors": null,
        "Units": {
          "$ref": "301"
        },
        "Name": "Other environmental proportion",
        "ReportLines": {
          "$type": "ModelMaker.UndoableCollection`1[[ModelMakerEngine.IReportLine, ModelMakerEngine]], ModelMaker.Undo",
          "$values": []
        },
        "IsOpeningBalance": false,
        "ExternalLinks": {
          "$type": "UINext.Collections.DeepObservableCollection`1[[ExternalLinks.IExternalDataLink, ExternalLinks]], UINext",
          "$values": []
        },
        "HasUnits": true,
        "UnitsValid": true,
        "UnitsErrorMessage": "",
        "IgnoreUnitIssues": false,
        "IsPlaceholder": false,
        "StandardName": 0,
        "IsStandardNode": false,
        "WarnMessage": null,
        "StandardDescription": null,
        "HasStandardDescription": false,
        "HasStandardName": false,
        "OptimisationNodePair": null,
        "IsOptimisationNode": false,
        "Actuals": null,
        "UDFCode": null,
        "AssociatedOptimisationNodes": null,
        "CustomNamedRange": null,
        "IsRowTotal": false,
        "YPosition": 7,
        "Parent": {
          "$ref": "1"
        },
        "Visible": true,
        "Font": null,
        "AllowIncomingLinks": true,
        "AllowOutgoingLinks": tru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Issues": null
      },
      {
        "$id": "305",
        "$type": "ModelMaker.VariableNode, ModelMaker",
        "RowTotalDependent": null,
        "PutCalculationOnReport": false,
        "CalculateOnThisReport": null,
        "PivotTableLink": null,
        "ExcelNameName": "Other_enhancement_costs_proportion",
        "ExcelNameNames": {
          "$type": "ModelMakerEngine.ExcelNameDictionary, ModelMakerEngine",
          "$values": []
        },
        "NumberFormatOverride": null,
        "HasOpeningBalanceFlag": false,
        "OpeningBalanceFlagAppliedName": "",
        "Deletable": true,
        "Comment": "",
        "HasSwitchSignLine": false,
        "SwitchSignForReport": false,
        "MultipleInputValues": null,
        "NonPrimaryInput": false,
        "Max": "NaN",
        "Min": "NaN",
        "IsBalanceButNotCorkscrew": false,
        "IsEditable": true,
        "IsConstant": true,
        "UniqueID": "97a4cb82-4aea-417c-b30d-98e9e77d1fe5",
        "Dimensions": {
          "$type": "ModelMakerEngine.MMDimensions, ModelMakerEngine",
          "$values": []
        },
        "EquationOBXInternal": "IF([Total expenditure category delta]=0,0,[Other enhancement costs delta]/[Total expenditure category delta])",
        "NameOfGroup": "Inputs.Costs breakdown",
        "EquationToParse": "IF([Total expenditure category delta]=0,0,[Other enhancement costs delta]/[Total expenditure category delta])",
        "MostRecentExpectedUnitErrors": null,
        "Units": {
          "$ref": "301"
        },
        "Name": "Other enhancement costs proportion",
        "ReportLines": {
          "$type": "ModelMaker.UndoableCollection`1[[ModelMakerEngine.IReportLine, ModelMakerEngine]], ModelMaker.Undo",
          "$values": []
        },
        "IsOpeningBalance": false,
        "ExternalLinks": {
          "$type": "UINext.Collections.DeepObservableCollection`1[[ExternalLinks.IExternalDataLink, ExternalLinks]], UINext",
          "$values": []
        },
        "HasUnits": true,
        "UnitsValid": true,
        "UnitsErrorMessage": "",
        "IgnoreUnitIssues": false,
        "IsPlaceholder": false,
        "StandardName": 0,
        "IsStandardNode": false,
        "WarnMessage": null,
        "StandardDescription": null,
        "HasStandardDescription": false,
        "HasStandardName": false,
        "OptimisationNodePair": null,
        "IsOptimisationNode": false,
        "Actuals": null,
        "UDFCode": null,
        "AssociatedOptimisationNodes": null,
        "CustomNamedRange": null,
        "IsRowTotal": false,
        "YPosition": 8,
        "Parent": {
          "$ref": "1"
        },
        "Visible": true,
        "Font": null,
        "AllowIncomingLinks": true,
        "AllowOutgoingLinks": tru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Issues": null
      },
      {
        "$ref": "88"
      },
      {
        "$id": "306",
        "$type": "ModelMaker.GroupNode, ModelMaker",
        "TabOrHeaderColour": "",
        "Comment": "",
        "NameOfGroup": null,
        "YPosition": 0,
        "Folded": false,
        "Font": null,
        "Children": {
          "$type": "ModelMaker.GroupNodeChildCollection, ModelMaker",
          "$values": [
            {
              "$id": "307",
              "$type": "ModelMaker.VariableNode, ModelMaker",
              "RowTotalDependent": null,
              "PutCalculationOnReport": false,
              "CalculateOnThisReport": null,
              "PivotTableLink": null,
              "ExcelNameName": "Costs_impact",
              "ExcelNameNames": {
                "$type": "ModelMakerEngine.ExcelNameDictionary, ModelMakerEngine",
                "$values": []
              },
              "NumberFormatOverride": null,
              "HasOpeningBalanceFlag": false,
              "OpeningBalanceFlagAppliedName": "",
              "Deletable": true,
              "Comment": "",
              "HasSwitchSignLine": false,
              "SwitchSignForReport": false,
              "MultipleInputValues": null,
              "NonPrimaryInput": false,
              "Max": "NaN",
              "Min": "NaN",
              "IsBalanceButNotCorkscrew": false,
              "IsEditable": true,
              "IsConstant": false,
              "UniqueID": "e2de035a-e9f8-4953-9125-1066922f58f1",
              "Dimensions": {
                "$type": "ModelMakerEngine.MMDimensions, ModelMakerEngine",
                "$values": []
              },
              "EquationOBXInternal": " [Average totex increase/(decrease)] + [Final Impact of PAYG rate change] + [RCV] + [Run-off rates]",
              "NameOfGroup": "Breakdown by costs",
              "EquationToParse": " [Average totex increase/(decrease)] + [Final Impact of PAYG rate change] + [RCV] + [Run-off rates]",
              "MostRecentExpectedUnitErrors": null,
              "Units": {
                "$id": "308",
                "$type": "ModelMaker.Unit, ModelMaker",
                "NumberFormatOverride": null,
                "MatchAnything": false,
                "ExternalRepresentation": "£ / customer",
                "ItemsOnTop": {
                  "$type": "System.Collections.Generic.List`1[[System.String, mscorlib]], mscorlib",
                  "$values": [
                    "£"
                  ]
                },
                "ItemsOnBottom": {
                  "$type": "System.Collections.Generic.List`1[[System.String, mscorlib]], mscorlib",
                  "$values": [
                    "CUSTOMER"
                  ]
                },
                "IsCurrency": true,
                "ContainsSMU": false,
                "IsDimensionless": false,
                "InsertRowTotal": true,
                "IgnoreWhenDeterminingExpectedUnits": false
              },
              "Name": "Costs impact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true,
              "UnitsErrorMessage": "",
              "IgnoreUnitIssues": false,
              "IsPlaceholder": false,
              "StandardName": 0,
              "IsStandardNode": false,
              "WarnMessage": null,
              "StandardDescription": null,
              "HasStandardDescription": false,
              "HasStandardName": false,
              "OptimisationNodePair": null,
              "IsOptimisationNode": false,
              "Actuals": null,
              "UDFCode": null,
              "AssociatedOptimisationNodes": null,
              "CustomNamedRange": null,
              "IsRowTotal": false,
              "YPosition": 0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id": "309",
              "$type": "ModelMaker.GroupNode, ModelMaker",
              "TabOrHeaderColour": "",
              "Comment": "",
              "NameOfGroup": "Breakdown by costs",
              "YPosition": 1,
              "Folded": false,
              "Font": null,
              "Children": {
                "$type": "ModelMaker.GroupNodeChildCollection, ModelMaker",
                "$values": [
                  {
                    "$id": "310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Base_expenditure_delta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5106a28b-54a5-4f33-95c7-e1b180549f2b",
                    "Dimensions": {
                      "$type": "ModelMakerEngine.MMDimensions, ModelMakerEngine",
                      "$values": []
                    },
                    "EquationOBXInternal": "[Base expenditure PR24] - ( [Pre-inflation base expenditure PR19] * [CPIH factor] )",
                    "NameOfGroup": "Unallocated",
                    "EquationToParse": "[Base expenditure PR24] - ( [Pre-inflation base expenditure PR19] * [CPIH factor] )",
                    "MostRecentExpectedUnitErrors": null,
                    "Units": {
                      "$id": "311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Base expenditure delta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0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312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Storm_overflows_delta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600d2602-4285-4367-9877-22cf45657f1a",
                    "Dimensions": {
                      "$type": "ModelMakerEngine.MMDimensions, ModelMakerEngine",
                      "$values": []
                    },
                    "EquationOBXInternal": "[Storm overflows PR24] - ( [Pre-inflation storm overflows PR19] * [CPIH factor] )",
                    "NameOfGroup": "Unallocated",
                    "EquationToParse": "[Storm overflows PR24] - ( [Pre-inflation storm overflows PR19] * [CPIH factor] )",
                    "MostRecentExpectedUnitErrors": null,
                    "Units": {
                      "$id": "313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Storm overflows delta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1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314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Nutrient_removal_delta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3bfa5760-ba52-4eed-9efb-0dcbcd70c911",
                    "Dimensions": {
                      "$type": "ModelMakerEngine.MMDimensions, ModelMakerEngine",
                      "$values": []
                    },
                    "EquationOBXInternal": "[Nutrient removal PR24] - ( [Pre-inflation nutrient removal PR19] * [CPIH factor] )",
                    "NameOfGroup": "Unallocated",
                    "EquationToParse": "[Nutrient removal PR24] - ( [Pre-inflation nutrient removal PR19] * [CPIH factor] )",
                    "MostRecentExpectedUnitErrors": null,
                    "Units": {
                      "$ref": "100"
                    },
                    "Name": "Nutrient removal delta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2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315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Resilience_delta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1a0ac3fe-bfca-4925-8c46-5da15b309aac",
                    "Dimensions": {
                      "$type": "ModelMakerEngine.MMDimensions, ModelMakerEngine",
                      "$values": []
                    },
                    "EquationOBXInternal": "[Resilience PR24] - ( [Pre-inflation resilience PR19] * [CPIH factor] )",
                    "NameOfGroup": "Breakdown by costs.Cost proportions",
                    "EquationToParse": "[Resilience PR24] - ( [Pre-inflation resilience PR19] * [CPIH factor] )",
                    "MostRecentExpectedUnitErrors": null,
                    "Units": {
                      "$id": "316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Resilience delta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3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317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Net_zero_delta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9f9b4d2c-a04e-4396-8307-0f3b85ea0ea0",
                    "Dimensions": {
                      "$type": "ModelMakerEngine.MMDimensions, ModelMakerEngine",
                      "$values": []
                    },
                    "EquationOBXInternal": "[Net zero PR24] - ( [Pre-inflation net zero PR19] * [CPIH factor] )",
                    "NameOfGroup": "Breakdown by costs.Cost proportions",
                    "EquationToParse": "[Net zero PR24] - ( [Pre-inflation net zero PR19] * [CPIH factor] )",
                    "MostRecentExpectedUnitErrors": null,
                    "Units": {
                      "$id": "318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Net zero delta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4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319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WRMP_delta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fcfd64b8-cc72-4c1d-9977-3f2b70aec949",
                    "Dimensions": {
                      "$type": "ModelMakerEngine.MMDimensions, ModelMakerEngine",
                      "$values": []
                    },
                    "EquationOBXInternal": "[WRMP PR24] - ( [Pre-inflation WRMP PR19] * [CPIH factor] )",
                    "NameOfGroup": "Unallocated",
                    "EquationToParse": "[WRMP PR24] - ( [Pre-inflation WRMP PR19] * [CPIH factor] )",
                    "MostRecentExpectedUnitErrors": null,
                    "Units": {
                      "$ref": "114"
                    },
                    "Name": "WRMP delta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5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320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Environmental_delta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314b5dd5-ad5f-4c43-afa2-87fa1cf4867d",
                    "Dimensions": {
                      "$type": "ModelMakerEngine.MMDimensions, ModelMakerEngine",
                      "$values": []
                    },
                    "EquationOBXInternal": "[Environmental PR24] - ( [Pre-inflation environmental PR19] * [CPIH factor] )",
                    "NameOfGroup": "Breakdown by costs.Cost proportions",
                    "EquationToParse": "[Environmental PR24] - ( [Pre-inflation environmental PR19] * [CPIH factor] )",
                    "MostRecentExpectedUnitErrors": null,
                    "Units": {
                      "$id": "321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Environmental delta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6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322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Other_environmental_delta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cf0542a9-47d4-4093-976d-b91be44222d2",
                    "Dimensions": {
                      "$type": "ModelMakerEngine.MMDimensions, ModelMakerEngine",
                      "$values": []
                    },
                    "EquationOBXInternal": "[Other environmental PR24] - ( [Pre-inflation other environmental PR19] * [CPIH factor] )",
                    "NameOfGroup": "Unallocated",
                    "EquationToParse": "[Other environmental PR24] - ( [Pre-inflation other environmental PR19] * [CPIH factor] )",
                    "MostRecentExpectedUnitErrors": null,
                    "Units": {
                      "$ref": "122"
                    },
                    "Name": "Other environmental delta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7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323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Other_enhancement_costs_delta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d3b1f70b-e1b2-4eba-9b09-d5d71933349e",
                    "Dimensions": {
                      "$type": "ModelMakerEngine.MMDimensions, ModelMakerEngine",
                      "$values": []
                    },
                    "EquationOBXInternal": "[Other enhancement costs PR24] - ( [Pre-inflation other enhancement costs PR19] * [CPIH factor] )",
                    "NameOfGroup": "Unallocated",
                    "EquationToParse": "[Other enhancement costs PR24] - ( [Pre-inflation other enhancement costs PR19] * [CPIH factor] )",
                    "MostRecentExpectedUnitErrors": null,
                    "Units": {
                      "$ref": "126"
                    },
                    "Name": "Other enhancement costs delta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8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324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Total_expenditure_category_delta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b8d8669b-0c35-45bb-b0b2-e6c0040973cc",
                    "Dimensions": {
                      "$type": "ModelMakerEngine.MMDimensions, ModelMakerEngine",
                      "$values": []
                    },
                    "EquationOBXInternal": "[Base expenditure delta] + [Storm overflows delta] + [Nutrient removal delta] + [Resilience delta] + [Net zero delta] + [WRMP delta] + [Environmental delta] + [Other environmental delta] + [Other enhancement costs delta]",
                    "NameOfGroup": "Unallocated",
                    "EquationToParse": "[Base expenditure delta] + [Storm overflows delta] + [Nutrient removal delta] + [Resilience delta] + [Net zero delta] + [WRMP delta] + [Environmental delta] + [Other environmental delta] + [Other enhancement costs delta]",
                    "MostRecentExpectedUnitErrors": null,
                    "Units": {
                      "$id": "325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Total expenditure category delta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9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
                ]
              },
              "AllowAddChildren": true,
              "AllowRemoveChildren": true,
              "IsImported": false,
              "IsChecksGroup": false,
              "IsAlertsGroup": false,
              "IsChecksAndAlertsGroup": false,
              "IsUnallocatedGroup": false,
              "IsInputsGroup": false,
              "IsFlag": false,
              "IsTimeAndFlagsGroup": false,
              "DimensionsAcross": {
                "$type": "ModelMakerEngine.MMDimensions, ModelMakerEngine",
                "$values": []
              },
              "TimeAxis": 0,
              "IndexInParent": -1,
              "Name": "Cost deltas",
              "Parent": {
                "$ref": "1"
              },
              "Visible": true,
              "ToolTip": "",
              "OpeningBalanceFlagAppliedName": "",
              "AllowIncomingLinks": false,
              "AllowOutgoingLinks": fals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Deletable": true,
              "Issues": null
            },
            {
              "$id": "326",
              "$type": "ModelMaker.GroupNode, ModelMaker",
              "TabOrHeaderColour": "",
              "Comment": "",
              "NameOfGroup": "Breakdown by costs",
              "YPosition": 2,
              "Folded": false,
              "Font": null,
              "Children": {
                "$type": "ModelMaker.GroupNodeChildCollection, ModelMaker",
                "$values": [
                  {
                    "$ref": "300"
                  },
                  {
                    "$ref": "302"
                  },
                  {
                    "$ref": "303"
                  },
                  {
                    "$id": "327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Resilience_proportion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39a89d92-731f-4a54-a6cb-e950d1df93ea",
                    "Dimensions": {
                      "$type": "ModelMakerEngine.MMDimensions, ModelMakerEngine",
                      "$values": []
                    },
                    "EquationOBXInternal": "IF([Total expenditure category delta]=0,0,[Resilience delta]/[Total expenditure category delta])",
                    "NameOfGroup": "Breakdown by costs.Breakdown by costs",
                    "EquationToParse": "IF([Total expenditure category delta]=0,0,[Resilience delta]/[Total expenditure category delta])",
                    "MostRecentExpectedUnitErrors": null,
                    "Units": {
                      "$id": "328",
                      "$type": "ModelMaker.Unit, ModelMaker",
                      "NumberFormatOverride": null,
                      "MatchAnything": false,
                      "ExternalRepresentation": "factor",
                      "ItemsOnTop": {
                        "$type": "System.Collections.Generic.List`1[[System.String, mscorlib]], mscorlib",
                        "$values": []
                      },
                      "ItemsOnBottom": {
                        "$type": "System.Collections.Generic.List`1[[System.String, mscorlib]], mscorlib",
                        "$values": []
                      },
                      "IsCurrency": false,
                      "ContainsSMU": false,
                      "IsDimensionless": false,
                      "InsertRowTotal": true,
                      "IgnoreWhenDeterminingExpectedUnits": false
                    },
                    "Name": "Resilience proportion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3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329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Net_zero_proportion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3113cdc2-6e0d-4303-9a94-e0b1707f1f8a",
                    "Dimensions": {
                      "$type": "ModelMakerEngine.MMDimensions, ModelMakerEngine",
                      "$values": []
                    },
                    "EquationOBXInternal": "IF([Total expenditure category delta]=0,0,[Net zero delta]/[Total expenditure category delta])",
                    "NameOfGroup": "Breakdown by costs.Breakdown by costs",
                    "EquationToParse": "IF([Total expenditure category delta]=0,0,[Net zero delta]/[Total expenditure category delta])",
                    "MostRecentExpectedUnitErrors": null,
                    "Units": {
                      "$id": "330",
                      "$type": "ModelMaker.Unit, ModelMaker",
                      "NumberFormatOverride": null,
                      "MatchAnything": false,
                      "ExternalRepresentation": "factor",
                      "ItemsOnTop": {
                        "$type": "System.Collections.Generic.List`1[[System.String, mscorlib]], mscorlib",
                        "$values": []
                      },
                      "ItemsOnBottom": {
                        "$type": "System.Collections.Generic.List`1[[System.String, mscorlib]], mscorlib",
                        "$values": []
                      },
                      "IsCurrency": false,
                      "ContainsSMU": false,
                      "IsDimensionless": false,
                      "InsertRowTotal": true,
                      "IgnoreWhenDeterminingExpectedUnits": false
                    },
                    "Name": "Net zero proportion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4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331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WRMP_proportion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1f32329a-b642-4f18-a9b9-b92ef96f927d",
                    "Dimensions": {
                      "$type": "ModelMakerEngine.MMDimensions, ModelMakerEngine",
                      "$values": []
                    },
                    "EquationOBXInternal": "IF([Total expenditure category delta]=0,0,[WRMP delta]/[Total expenditure category delta])",
                    "NameOfGroup": "Inputs.Costs breakdown",
                    "EquationToParse": "IF([Total expenditure category delta]=0,0,[WRMP delta]/[Total expenditure category delta])",
                    "MostRecentExpectedUnitErrors": null,
                    "Units": {
                      "$id": "332",
                      "$type": "ModelMaker.Unit, ModelMaker",
                      "NumberFormatOverride": null,
                      "MatchAnything": false,
                      "ExternalRepresentation": "factor",
                      "ItemsOnTop": {
                        "$type": "System.Collections.Generic.List`1[[System.String, mscorlib]], mscorlib",
                        "$values": []
                      },
                      "ItemsOnBottom": {
                        "$type": "System.Collections.Generic.List`1[[System.String, mscorlib]], mscorlib",
                        "$values": []
                      },
                      "IsCurrency": false,
                      "ContainsSMU": false,
                      "IsDimensionless": false,
                      "InsertRowTotal": true,
                      "IgnoreWhenDeterminingExpectedUnits": false
                    },
                    "Name": "WRMP proportion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5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333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Environmental_proportion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55089cb6-50be-4f6f-97f6-3842acbaa1e6",
                    "Dimensions": {
                      "$type": "ModelMakerEngine.MMDimensions, ModelMakerEngine",
                      "$values": []
                    },
                    "EquationOBXInternal": "IF([Total expenditure category delta]=0,0,[Environmental delta]/[Total expenditure category delta])",
                    "NameOfGroup": "Breakdown by costs.Breakdown by costs",
                    "EquationToParse": "IF([Total expenditure category delta]=0,0,[Environmental delta]/[Total expenditure category delta])",
                    "MostRecentExpectedUnitErrors": null,
                    "Units": {
                      "$id": "334",
                      "$type": "ModelMaker.Unit, ModelMaker",
                      "NumberFormatOverride": null,
                      "MatchAnything": false,
                      "ExternalRepresentation": "factor",
                      "ItemsOnTop": {
                        "$type": "System.Collections.Generic.List`1[[System.String, mscorlib]], mscorlib",
                        "$values": []
                      },
                      "ItemsOnBottom": {
                        "$type": "System.Collections.Generic.List`1[[System.String, mscorlib]], mscorlib",
                        "$values": []
                      },
                      "IsCurrency": false,
                      "ContainsSMU": false,
                      "IsDimensionless": false,
                      "InsertRowTotal": true,
                      "IgnoreWhenDeterminingExpectedUnits": false
                    },
                    "Name": "Environmental proportion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6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ref": "304"
                  },
                  {
                    "$ref": "305"
                  }
                ]
              },
              "AllowAddChildren": true,
              "AllowRemoveChildren": true,
              "IsImported": false,
              "IsChecksGroup": false,
              "IsAlertsGroup": false,
              "IsChecksAndAlertsGroup": false,
              "IsUnallocatedGroup": false,
              "IsInputsGroup": false,
              "IsFlag": false,
              "IsTimeAndFlagsGroup": false,
              "DimensionsAcross": {
                "$type": "ModelMakerEngine.MMDimensions, ModelMakerEngine",
                "$values": []
              },
              "TimeAxis": 0,
              "IndexInParent": -1,
              "Name": "Cost proportions",
              "Parent": {
                "$ref": "1"
              },
              "Visible": true,
              "ToolTip": "",
              "OpeningBalanceFlagAppliedName": "",
              "AllowIncomingLinks": false,
              "AllowOutgoingLinks": fals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Deletable": true,
              "Issues": null
            },
            {
              "$id": "335",
              "$type": "ModelMaker.GroupNode, ModelMaker",
              "TabOrHeaderColour": "",
              "Comment": "",
              "NameOfGroup": "Breakdown by costs",
              "YPosition": 3,
              "Folded": false,
              "Font": null,
              "Children": {
                "$type": "ModelMaker.GroupNodeChildCollection, ModelMaker",
                "$values": [
                  {
                    "$id": "336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Base_expenditure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aeb89bce-a7f9-43c8-a337-7559279e9f75",
                    "Dimensions": {
                      "$type": "ModelMakerEngine.MMDimensions, ModelMakerEngine",
                      "$values": []
                    },
                    "EquationOBXInternal": " [Base expenditure proportion] * [Costs impact]",
                    "NameOfGroup": "Breakdown by costs.Breakdown by costs",
                    "EquationToParse": " [Base expenditure proportion] * [Costs impact]",
                    "MostRecentExpectedUnitErrors": null,
                    "Units": {
                      "$id": "337",
                      "$type": "ModelMaker.Unit, ModelMaker",
                      "NumberFormatOverride": null,
                      "MatchAnything": false,
                      "ExternalRepresentation": "£ / customer",
                      "ItemsOnTop": {
                        "$type": "System.Collections.Generic.List`1[[System.String, mscorlib]], mscorlib",
                        "$values": [
                          "£"
                        ]
                      },
                      "ItemsOnBottom": {
                        "$type": "System.Collections.Generic.List`1[[System.String, mscorlib]], mscorlib",
                        "$values": [
                          "CUSTOMER"
                        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Base expenditure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0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338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Storm_overflows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accd1690-eba6-4085-9765-d03b927c17ca",
                    "Dimensions": {
                      "$type": "ModelMakerEngine.MMDimensions, ModelMakerEngine",
                      "$values": []
                    },
                    "EquationOBXInternal": " [Storm overflows proportion] * [Costs impact]",
                    "NameOfGroup": "Breakdown by costs.Breakdown by costs",
                    "EquationToParse": " [Storm overflows proportion] * [Costs impact]",
                    "MostRecentExpectedUnitErrors": null,
                    "Units": {
                      "$id": "339",
                      "$type": "ModelMaker.Unit, ModelMaker",
                      "NumberFormatOverride": null,
                      "MatchAnything": false,
                      "ExternalRepresentation": "£ / customer",
                      "ItemsOnTop": {
                        "$type": "System.Collections.Generic.List`1[[System.String, mscorlib]], mscorlib",
                        "$values": [
                          "£"
                        ]
                      },
                      "ItemsOnBottom": {
                        "$type": "System.Collections.Generic.List`1[[System.String, mscorlib]], mscorlib",
                        "$values": [
                          "CUSTOMER"
                        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Storm overflows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1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340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Nutrient_removal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8ab45130-e1bf-45c5-abc8-fc3bb98361cc",
                    "Dimensions": {
                      "$type": "ModelMakerEngine.MMDimensions, ModelMakerEngine",
                      "$values": []
                    },
                    "EquationOBXInternal": "[Nutrient removal proportion] * [Costs impact]",
                    "NameOfGroup": "Breakdown by costs.Breakdown by costs",
                    "EquationToParse": "[Nutrient removal proportion] * [Costs impact]",
                    "MostRecentExpectedUnitErrors": null,
                    "Units": {
                      "$id": "341",
                      "$type": "ModelMaker.Unit, ModelMaker",
                      "NumberFormatOverride": null,
                      "MatchAnything": false,
                      "ExternalRepresentation": "£ / customer",
                      "ItemsOnTop": {
                        "$type": "System.Collections.Generic.List`1[[System.String, mscorlib]], mscorlib",
                        "$values": [
                          "£"
                        ]
                      },
                      "ItemsOnBottom": {
                        "$type": "System.Collections.Generic.List`1[[System.String, mscorlib]], mscorlib",
                        "$values": [
                          "CUSTOMER"
                        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Nutrient removal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2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342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Resilience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a15bebb4-e442-4fcd-bcd4-98ca62e7586a",
                    "Dimensions": {
                      "$type": "ModelMakerEngine.MMDimensions, ModelMakerEngine",
                      "$values": []
                    },
                    "EquationOBXInternal": "[Resilience proportion] * [Costs impact]",
                    "NameOfGroup": "Breakdown by costs.Breakdown by costs",
                    "EquationToParse": "[Resilience proportion] * [Costs impact]",
                    "MostRecentExpectedUnitErrors": null,
                    "Units": {
                      "$id": "343",
                      "$type": "ModelMaker.Unit, ModelMaker",
                      "NumberFormatOverride": null,
                      "MatchAnything": false,
                      "ExternalRepresentation": "£ / customer",
                      "ItemsOnTop": {
                        "$type": "System.Collections.Generic.List`1[[System.String, mscorlib]], mscorlib",
                        "$values": [
                          "£"
                        ]
                      },
                      "ItemsOnBottom": {
                        "$type": "System.Collections.Generic.List`1[[System.String, mscorlib]], mscorlib",
                        "$values": [
                          "customer"
                        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Resilience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3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344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Net_zero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62adff0c-f40c-4be2-8905-990e1928c541",
                    "Dimensions": {
                      "$type": "ModelMakerEngine.MMDimensions, ModelMakerEngine",
                      "$values": []
                    },
                    "EquationOBXInternal": "[Net zero proportion] * [Costs impact]",
                    "NameOfGroup": "Breakdown by costs.Breakdown by costs",
                    "EquationToParse": "[Net zero proportion] * [Costs impact]",
                    "MostRecentExpectedUnitErrors": null,
                    "Units": {
                      "$id": "345",
                      "$type": "ModelMaker.Unit, ModelMaker",
                      "NumberFormatOverride": null,
                      "MatchAnything": false,
                      "ExternalRepresentation": "£ / customer",
                      "ItemsOnTop": {
                        "$type": "System.Collections.Generic.List`1[[System.String, mscorlib]], mscorlib",
                        "$values": [
                          "£"
                        ]
                      },
                      "ItemsOnBottom": {
                        "$type": "System.Collections.Generic.List`1[[System.String, mscorlib]], mscorlib",
                        "$values": [
                          "customer"
                        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Net zero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4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346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WRMP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cd5b4463-8cc0-4f8a-914c-478f188e54e5",
                    "Dimensions": {
                      "$type": "ModelMakerEngine.MMDimensions, ModelMakerEngine",
                      "$values": []
                    },
                    "EquationOBXInternal": "[WRMP proportion] * [Costs impact]",
                    "NameOfGroup": "Breakdown by costs.Breakdown by costs",
                    "EquationToParse": "[WRMP proportion] * [Costs impact]",
                    "MostRecentExpectedUnitErrors": null,
                    "Units": {
                      "$id": "347",
                      "$type": "ModelMaker.Unit, ModelMaker",
                      "NumberFormatOverride": null,
                      "MatchAnything": false,
                      "ExternalRepresentation": "£ / customer",
                      "ItemsOnTop": {
                        "$type": "System.Collections.Generic.List`1[[System.String, mscorlib]], mscorlib",
                        "$values": [
                          "£"
                        ]
                      },
                      "ItemsOnBottom": {
                        "$type": "System.Collections.Generic.List`1[[System.String, mscorlib]], mscorlib",
                        "$values": [
                          "CUSTOMER"
                        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WRMP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5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348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Environmental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2e2b843b-0477-4bbc-b457-78a06e1b126a",
                    "Dimensions": {
                      "$type": "ModelMakerEngine.MMDimensions, ModelMakerEngine",
                      "$values": []
                    },
                    "EquationOBXInternal": "[Environmental proportion] * [Costs impact]",
                    "NameOfGroup": "Breakdown by costs.Breakdown by costs",
                    "EquationToParse": "[Environmental proportion] * [Costs impact]",
                    "MostRecentExpectedUnitErrors": null,
                    "Units": {
                      "$id": "349",
                      "$type": "ModelMaker.Unit, ModelMaker",
                      "NumberFormatOverride": null,
                      "MatchAnything": false,
                      "ExternalRepresentation": "£ / customer",
                      "ItemsOnTop": {
                        "$type": "System.Collections.Generic.List`1[[System.String, mscorlib]], mscorlib",
                        "$values": [
                          "£"
                        ]
                      },
                      "ItemsOnBottom": {
                        "$type": "System.Collections.Generic.List`1[[System.String, mscorlib]], mscorlib",
                        "$values": [
                          "customer"
                        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Environmental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6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350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Other_environmental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77fe2334-04dc-42f0-9260-830133f65f1b",
                    "Dimensions": {
                      "$type": "ModelMakerEngine.MMDimensions, ModelMakerEngine",
                      "$values": []
                    },
                    "EquationOBXInternal": "[Other environmental proportion] * [Costs impact]",
                    "NameOfGroup": "Breakdown by costs.Breakdown by costs",
                    "EquationToParse": "[Other environmental proportion] * [Costs impact]",
                    "MostRecentExpectedUnitErrors": null,
                    "Units": {
                      "$id": "351",
                      "$type": "ModelMaker.Unit, ModelMaker",
                      "NumberFormatOverride": null,
                      "MatchAnything": false,
                      "ExternalRepresentation": "£ / customer",
                      "ItemsOnTop": {
                        "$type": "System.Collections.Generic.List`1[[System.String, mscorlib]], mscorlib",
                        "$values": [
                          "£"
                        ]
                      },
                      "ItemsOnBottom": {
                        "$type": "System.Collections.Generic.List`1[[System.String, mscorlib]], mscorlib",
                        "$values": [
                          "CUSTOMER"
                        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Other environmental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7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352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Other_enhancement_costs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800ab384-1d6a-41df-9712-8acdcca0c1e4",
                    "Dimensions": {
                      "$type": "ModelMakerEngine.MMDimensions, ModelMakerEngine",
                      "$values": []
                    },
                    "EquationOBXInternal": "[Other enhancement costs proportion] * [Costs impact]",
                    "NameOfGroup": "Breakdown by costs.Breakdown by costs",
                    "EquationToParse": "[Other enhancement costs proportion] * [Costs impact]",
                    "MostRecentExpectedUnitErrors": null,
                    "Units": {
                      "$id": "353",
                      "$type": "ModelMaker.Unit, ModelMaker",
                      "NumberFormatOverride": null,
                      "MatchAnything": false,
                      "ExternalRepresentation": "£ / customer",
                      "ItemsOnTop": {
                        "$type": "System.Collections.Generic.List`1[[System.String, mscorlib]], mscorlib",
                        "$values": [
                          "£"
                        ]
                      },
                      "ItemsOnBottom": {
                        "$type": "System.Collections.Generic.List`1[[System.String, mscorlib]], mscorlib",
                        "$values": [
                          "CUSTOMER"
                        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Other enhancement costs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8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
                ]
              },
              "AllowAddChildren": true,
              "AllowRemoveChildren": true,
              "IsImported": false,
              "IsChecksGroup": false,
              "IsAlertsGroup": false,
              "IsChecksAndAlertsGroup": false,
              "IsUnallocatedGroup": false,
              "IsInputsGroup": false,
              "IsFlag": false,
              "IsTimeAndFlagsGroup": false,
              "DimensionsAcross": {
                "$type": "ModelMakerEngine.MMDimensions, ModelMakerEngine",
                "$values": []
              },
              "TimeAxis": 0,
              "IndexInParent": -1,
              "Name": "Breakdown by costs",
              "Parent": {
                "$ref": "1"
              },
              "Visible": true,
              "ToolTip": "",
              "OpeningBalanceFlagAppliedName": "",
              "AllowIncomingLinks": false,
              "AllowOutgoingLinks": fals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Deletable": true,
              "Issues": null
            }
          ]
        },
        "AllowAddChildren": true,
        "AllowRemoveChildren": true,
        "IsImported": false,
        "IsChecksGroup": false,
        "IsAlertsGroup": false,
        "IsChecksAndAlertsGroup": false,
        "IsUnallocatedGroup": false,
        "IsInputsGroup": false,
        "IsFlag": false,
        "IsTimeAndFlagsGroup": false,
        "DimensionsAcross": {
          "$type": "ModelMakerEngine.MMDimensions, ModelMakerEngine",
          "$values": []
        },
        "TimeAxis": 0,
        "IndexInParent": 10,
        "Name": "Breakdown by costs",
        "Parent": {
          "$ref": "1"
        },
        "Visible": true,
        "ToolTip": "",
        "OpeningBalanceFlagAppliedName": "",
        "AllowIncomingLinks": false,
        "AllowOutgoingLinks": fals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true,
        "Issues": null
      },
      {
        "$ref": "307"
      },
      {
        "$ref": "335"
      },
      {
        "$ref": "338"
      },
      {
        "$ref": "340"
      },
      {
        "$ref": "350"
      },
      {
        "$ref": "336"
      },
      {
        "$ref": "352"
      },
      {
        "$ref": "346"
      },
      {
        "$ref": "331"
      },
      {
        "$ref": "89"
      },
      {
        "$ref": "91"
      },
      {
        "$ref": "93"
      },
      {
        "$ref": "95"
      },
      {
        "$ref": "310"
      },
      {
        "$ref": "312"
      },
      {
        "$ref": "324"
      },
      {
        "$ref": "97"
      },
      {
        "$ref": "314"
      },
      {
        "$ref": "119"
      },
      {
        "$ref": "121"
      },
      {
        "$ref": "99"
      },
      {
        "$ref": "322"
      },
      {
        "$ref": "111"
      },
      {
        "$ref": "113"
      },
      {
        "$ref": "319"
      },
      {
        "$ref": "123"
      },
      {
        "$ref": "125"
      },
      {
        "$ref": "323"
      },
      {
        "$ref": "309"
      },
      {
        "$ref": "326"
      },
      {
        "$ref": "348"
      },
      {
        "$ref": "342"
      },
      {
        "$ref": "344"
      },
      {
        "$ref": "333"
      },
      {
        "$ref": "327"
      },
      {
        "$ref": "329"
      },
      {
        "$ref": "320"
      },
      {
        "$ref": "315"
      },
      {
        "$ref": "317"
      },
      {
        "$ref": "117"
      },
      {
        "$ref": "115"
      },
      {
        "$ref": "103"
      },
      {
        "$ref": "101"
      },
      {
        "$ref": "108"
      },
      {
        "$ref": "105"
      },
      {
        "$id": "354",
        "$type": "ModelMaker.TimeNode, ModelMaker",
        "ForceUpdate": 1,
        "Axis": 0,
        "EndDate": "2030-03-31T00:00:00",
        "MonthsPerPeriod": 12,
        "StartDate": "2020-04-01T00:00:00",
        "NumberOfPeriods": 10,
        "TimeStep": 8,
        "YearEndBasis": 0,
        "YearEndMonth": 0,
        "YPosition": -1,
        "Parent": {
          "$ref": "1"
        },
        "Visible": false,
        "ToolTip": "",
        "OpeningBalanceFlagAppliedName": "",
        "Font": null,
        "AllowIncomingLinks": true,
        "AllowOutgoingLinks": tru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true,
        "Issues": null
      },
      {
        "$ref": "153"
      }
    ]
  },
  "Reports": {
    "$type": "ModelMaker.UndoableCollection`1[[ModelMakerEngine.IReport, ModelMakerEngine]], ModelMaker.Undo",
    "$values": [
      {
        "$ref": "149"
      }
    ]
  },
  "TopLevelNodes": {
    "$type": "ModelMaker.UndoableCollection`1[[ModelMakerEngine.INode, ModelMakerEngine]], ModelMaker.Undo",
    "$values": [
      {
        "$ref": "3"
      },
      {
        "$ref": "4"
      },
      {
        "$ref": "132"
      },
      {
        "$ref": "271"
      },
      {
        "$ref": "246"
      },
      {
        "$ref": "212"
      },
      {
        "$ref": "203"
      },
      {
        "$ref": "229"
      },
      {
        "$ref": "184"
      },
      {
        "$ref": "193"
      },
      {
        "$ref": "306"
      },
      {
        "$ref": "196"
      },
      {
        "$ref": "220"
      }
    ]
  },
  "OptimisationGroup": {
    "$ref": "220"
  },
  "HistoricsGroup": null,
  "NumberOfBuiltInGroups": 6,
  "Password": null,
  "ProtectBook": false,
  "Description": null,
  "ActualsHelper": null,
  "StandardNumberFormats": {
    "$id": "355",
    "$type": "System.Collections.Generic.Dictionary`2[[ModelMakerEngine.NamedNumberFormat, ModelMakerEngine],[System.String, mscorlib]], mscorlib",
    "Currency": "#,##0.00_);(#,##0.00);\"-  \";\" \"@\" \""
  },
  "UseHybridTimeline": false,
  "MessageChoices": {
    "$id": "356",
    "$type": "System.Collections.Generic.Dictionary`2[[System.String, mscorlib],[System.Int32, mscorlib]], mscorlib",
    "AddNewVariables": 1,
    "UnusedItems": 2
  },
  "UnitNumberFormatMapping": {
    "$id": "357",
    "$type": "ModelMakerEngine.UnitNumberFormatMapping, ModelMakerEngine",
    "UnitNumberFormatting": {
      "$id": "358",
      "$type": "System.Collections.Generic.Dictionary`2[[System.String, mscorlib],[ModelMakerEngine.NamedNumberFormat, ModelMakerEngine]], mscorlib"
    },
    "UnitCustomNumberFormatting": {
      "$id": "359",
      "$type": "System.Collections.Generic.Dictionary`2[[System.String, mscorlib],[System.String, mscorlib]], mscorlib"
    }
  },
  "TableSections": {
    "$type": "System.Linq.Enumerable+WhereEnumerableIterator`1[[ModelMakerEngine.IGroupNode, ModelMakerEngine]], System.Core",
    "$values": []
  },
  "ScenarioNamesInModel": {
    "$type": "System.Collections.Generic.List`1[[System.String, mscorlib]], mscorlib",
    "$values": [
      " Base case 1 ",
      " Base case 2 ",
      " Base case 3 ",
      " Scenario 1 ",
      " Scenario 2 ",
      " Scenario 3 ",
      " Scenario 4 "
    ]
  }
}]]>  <Options>
    <TotalsColumn Value="8"/>
    <ConstantsColumn Value="6"/>
    <InputRow Value="7"/>
    <FirstTimeColumn Value="10"/>
    <UnitsColumn Value="7"/>
    <InputName Value="5"/>
    <OutputFileName Value="C:\Users\jenny.ngai\OneDrive - OFWAT\OFWAT work\PR24 FM work\Bill waterfall\Bill Waterfall v2n.xlsx"/>
    <SpacingBetweenBlocks Value="1"/>
    <SpacingBetweenFormulas Value="0"/>
    <SpacingBetweenInputs Value="0"/>
    <SpacingRowsSmall Value="False"/>
    <SpacingRowsSize Value="4"/>
    <TimeRow Value="2"/>
    <InputLayout Value="Basic"/>
    <CalcsLayout Value="Group"/>
    <ExcelFormat Value="2"/>
    <SaveAsXLSB Value="False"/>
    <DimensionsInSeparateColumn Value="False"/>
    <GroupCalculationandResultBlocks Value="False"/>
    <GroupSections Value="True"/>
    <FlagNotAsPercent Value="True"/>
    <Formulanamesonallrows Value="True"/>
    <OpeningBalancesText Value=""/>
    <ClosingBalancetext Value=""/>
    <FreezeFrames Value="True"/>
    <EnforceOneFormula Value="False"/>
    <HideGridlines Value="True"/>
    <ResultsLayout Value="Group"/>
    <GroupBlocks Value="False"/>
    <FASTBlocks Value="True"/>
    <FASTImportColor Value="True"/>
    <FASTExportColor Value="True"/>
    <FASTSpacing Value="True"/>
    <FastColorCounterflows Value="False"/>
    <FASTTotalsColumn Value="8"/>
    <FASTLiveLabels Value="True"/>
    <FASTVBAScenarios Value="False"/>
    <FASTPyramidStructure Value="True"/>
    <FASTRowAnchorLinks Value="True"/>
    <ReviewColumn Value="False"/>
  </Options>
</ModelMaker>
</file>

<file path=customXml/itemProps1.xml><?xml version="1.0" encoding="utf-8"?>
<ds:datastoreItem xmlns:ds="http://schemas.openxmlformats.org/officeDocument/2006/customXml" ds:itemID="{C952C203-2DCD-4458-BE25-BD4BB7AEAC6D}">
  <ds:schemaRefs>
    <ds:schemaRef ds:uri="http://purl.org/dc/elements/1.1/"/>
    <ds:schemaRef ds:uri="http://schemas.microsoft.com/sharepoint/v3"/>
    <ds:schemaRef ds:uri="http://purl.org/dc/dcmitype/"/>
    <ds:schemaRef ds:uri="http://schemas.microsoft.com/office/2006/documentManagement/types"/>
    <ds:schemaRef ds:uri="http://schemas.microsoft.com/office/2006/metadata/properties"/>
    <ds:schemaRef ds:uri="75e05205-f2e1-4168-9176-3cea1311c638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05c3d349-d7b5-4b99-a759-edf8a89fca83"/>
    <ds:schemaRef ds:uri="2e9523b9-9c37-4c05-b1eb-7b6f416249bb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39E9D13-AAB5-4FE0-8FD3-2AE744EA8B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725A5D-23C1-486A-A035-01D75C8048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e9523b9-9c37-4c05-b1eb-7b6f416249bb"/>
    <ds:schemaRef ds:uri="05c3d349-d7b5-4b99-a759-edf8a89fca83"/>
    <ds:schemaRef ds:uri="75e05205-f2e1-4168-9176-3cea1311c6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A7BDC36-4822-4574-A327-0049824AFF9D}">
  <ds:schemaRefs/>
</ds:datastoreItem>
</file>

<file path=docMetadata/LabelInfo.xml><?xml version="1.0" encoding="utf-8"?>
<clbl:labelList xmlns:clbl="http://schemas.microsoft.com/office/2020/mipLabelMetadata">
  <clbl:label id="{deff24bb-2089-4400-8c8e-f71e680378b2}" enabled="0" method="" siteId="{deff24bb-2089-4400-8c8e-f71e680378b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67</vt:i4>
      </vt:variant>
    </vt:vector>
  </HeadingPairs>
  <TitlesOfParts>
    <vt:vector size="85" baseType="lpstr">
      <vt:lpstr>CLEAR_SHEET</vt:lpstr>
      <vt:lpstr>Cover</vt:lpstr>
      <vt:lpstr>Contents</vt:lpstr>
      <vt:lpstr>InpS</vt:lpstr>
      <vt:lpstr>Time</vt:lpstr>
      <vt:lpstr>Totex</vt:lpstr>
      <vt:lpstr>RCV</vt:lpstr>
      <vt:lpstr>Wholesale</vt:lpstr>
      <vt:lpstr>Wholesale reconciliation</vt:lpstr>
      <vt:lpstr>Other wholesale items</vt:lpstr>
      <vt:lpstr>Cost to serve</vt:lpstr>
      <vt:lpstr>Customer number impacts</vt:lpstr>
      <vt:lpstr>Breakdown by costs</vt:lpstr>
      <vt:lpstr>OBXValues</vt:lpstr>
      <vt:lpstr>Total bill impacts</vt:lpstr>
      <vt:lpstr>Bill impact waterfall</vt:lpstr>
      <vt:lpstr>Bill impact waterfall (costs)</vt:lpstr>
      <vt:lpstr>PowerBi table</vt:lpstr>
      <vt:lpstr>Constants</vt:lpstr>
      <vt:lpstr>Contract_year</vt:lpstr>
      <vt:lpstr>FirstRow</vt:lpstr>
      <vt:lpstr>FirstTime</vt:lpstr>
      <vt:lpstr>Label</vt:lpstr>
      <vt:lpstr>'Breakdown by costs'!MasterALERT</vt:lpstr>
      <vt:lpstr>'Cost to serve'!MasterALERT</vt:lpstr>
      <vt:lpstr>'Customer number impacts'!MasterALERT</vt:lpstr>
      <vt:lpstr>InpS!MasterALERT</vt:lpstr>
      <vt:lpstr>OBXValues!MasterALERT</vt:lpstr>
      <vt:lpstr>'Other wholesale items'!MasterALERT</vt:lpstr>
      <vt:lpstr>RCV!MasterALERT</vt:lpstr>
      <vt:lpstr>Time!MasterALERT</vt:lpstr>
      <vt:lpstr>'Total bill impacts'!MasterALERT</vt:lpstr>
      <vt:lpstr>Totex!MasterALERT</vt:lpstr>
      <vt:lpstr>Wholesale!MasterALERT</vt:lpstr>
      <vt:lpstr>'Wholesale reconciliation'!MasterALERT</vt:lpstr>
      <vt:lpstr>'Breakdown by costs'!MasterCHK</vt:lpstr>
      <vt:lpstr>'Cost to serve'!MasterCHK</vt:lpstr>
      <vt:lpstr>'Customer number impacts'!MasterCHK</vt:lpstr>
      <vt:lpstr>InpS!MasterCHK</vt:lpstr>
      <vt:lpstr>OBXValues!MasterCHK</vt:lpstr>
      <vt:lpstr>'Other wholesale items'!MasterCHK</vt:lpstr>
      <vt:lpstr>RCV!MasterCHK</vt:lpstr>
      <vt:lpstr>Time!MasterCHK</vt:lpstr>
      <vt:lpstr>'Total bill impacts'!MasterCHK</vt:lpstr>
      <vt:lpstr>Totex!MasterCHK</vt:lpstr>
      <vt:lpstr>Wholesale!MasterCHK</vt:lpstr>
      <vt:lpstr>'Wholesale reconciliation'!MasterCHK</vt:lpstr>
      <vt:lpstr>Model_period_end</vt:lpstr>
      <vt:lpstr>Model_period_start</vt:lpstr>
      <vt:lpstr>Period_number</vt:lpstr>
      <vt:lpstr>ReportBarFormat</vt:lpstr>
      <vt:lpstr>Timeline_label</vt:lpstr>
      <vt:lpstr>TimeRow</vt:lpstr>
      <vt:lpstr>TOCFirstLine</vt:lpstr>
      <vt:lpstr>TOCobxBreakdown_by_costs</vt:lpstr>
      <vt:lpstr>TOCobxBreakdown_by_costs.Breakdown_by_costs</vt:lpstr>
      <vt:lpstr>TOCobxBreakdown_by_costs.Cost_deltas</vt:lpstr>
      <vt:lpstr>TOCobxBreakdown_by_costs.Cost_proportions</vt:lpstr>
      <vt:lpstr>TOCobxCost_to_serve</vt:lpstr>
      <vt:lpstr>TOCobxCustomer_number_impacts</vt:lpstr>
      <vt:lpstr>TOCobxInputs</vt:lpstr>
      <vt:lpstr>TOCobxInputs.Cost_to_serve</vt:lpstr>
      <vt:lpstr>TOCobxInputs.Costs_breakdown</vt:lpstr>
      <vt:lpstr>TOCobxInputs.Housing</vt:lpstr>
      <vt:lpstr>TOCobxInputs.Model_Constants</vt:lpstr>
      <vt:lpstr>TOCobxInputs.Other_wholesale_items</vt:lpstr>
      <vt:lpstr>TOCobxInputs.RCV</vt:lpstr>
      <vt:lpstr>TOCobxInputs.Totex</vt:lpstr>
      <vt:lpstr>TOCobxInputs.Wholesale</vt:lpstr>
      <vt:lpstr>TOCobxInputs.Wholesale_reconciliation</vt:lpstr>
      <vt:lpstr>TOCobxOther_wholesale_items</vt:lpstr>
      <vt:lpstr>TOCobxOther_wholesale_items.Other</vt:lpstr>
      <vt:lpstr>TOCobxOther_wholesale_items.Pension_deficit_repair_allowance</vt:lpstr>
      <vt:lpstr>TOCobxOther_wholesale_items.Revenue_profiling</vt:lpstr>
      <vt:lpstr>TOCobxOther_wholesale_items.Tax</vt:lpstr>
      <vt:lpstr>TOCobxRCV</vt:lpstr>
      <vt:lpstr>TOCobxTime</vt:lpstr>
      <vt:lpstr>TOCobxTime.Headers</vt:lpstr>
      <vt:lpstr>TOCobxTotex</vt:lpstr>
      <vt:lpstr>TOCobxWholesale</vt:lpstr>
      <vt:lpstr>TOCobxWholesale.WACC</vt:lpstr>
      <vt:lpstr>TOCobxWholesale_reconciliation</vt:lpstr>
      <vt:lpstr>TOCrepobxTotal_bill_impacts_Year</vt:lpstr>
      <vt:lpstr>Totals</vt:lpstr>
      <vt:lpstr>Units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2024-10-31T11:35:08Z</dcterms:created>
  <dcterms:modified xsi:type="dcterms:W3CDTF">2024-11-29T15:09:31Z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0x01010056CA1FEDC0F04146B2629EDF721CF670</vt:lpwstr>
  </property>
</Properties>
</file>