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showInkAnnotation="0" codeName="ThisWorkbook" defaultThemeVersion="124226"/>
  <xr:revisionPtr revIDLastSave="0" documentId="8_{28917251-2203-40E4-92E2-D84D71E83A8F}" xr6:coauthVersionLast="47" xr6:coauthVersionMax="47" xr10:uidLastSave="{00000000-0000-0000-0000-000000000000}"/>
  <bookViews>
    <workbookView xWindow="-107" yWindow="-107" windowWidth="24458" windowHeight="15668" tabRatio="710"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9" l="1"/>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77"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R108" i="16"/>
  <c r="R114" i="16" s="1"/>
  <c r="Q108" i="16"/>
  <c r="Q114" i="16" s="1"/>
  <c r="P108" i="16"/>
  <c r="P114" i="16" s="1"/>
  <c r="O108" i="16"/>
  <c r="O114" i="16" s="1"/>
  <c r="N108" i="16"/>
  <c r="N114" i="16" s="1"/>
  <c r="M108" i="16"/>
  <c r="M114" i="16" s="1"/>
  <c r="L108" i="16"/>
  <c r="L114" i="16" s="1"/>
  <c r="K108" i="16"/>
  <c r="K114" i="16" s="1"/>
  <c r="J108" i="16"/>
  <c r="J114" i="16" s="1"/>
  <c r="I108" i="16"/>
  <c r="H108" i="16"/>
  <c r="H114" i="16" s="1"/>
  <c r="G108" i="16"/>
  <c r="G114" i="16" s="1"/>
  <c r="R107" i="16"/>
  <c r="Q107" i="16"/>
  <c r="P107" i="16"/>
  <c r="O107" i="16"/>
  <c r="N107" i="16"/>
  <c r="M107" i="16"/>
  <c r="L107" i="16"/>
  <c r="K107" i="16"/>
  <c r="J107" i="16"/>
  <c r="I107" i="16"/>
  <c r="H107" i="16"/>
  <c r="G107" i="16"/>
  <c r="R106" i="16"/>
  <c r="Q106" i="16"/>
  <c r="P106" i="16"/>
  <c r="O106" i="16"/>
  <c r="N106" i="16"/>
  <c r="M106" i="16"/>
  <c r="L106" i="16"/>
  <c r="K106" i="16"/>
  <c r="J106" i="16"/>
  <c r="I106" i="16"/>
  <c r="H106" i="16"/>
  <c r="G106" i="16"/>
  <c r="R105" i="16"/>
  <c r="Q105" i="16"/>
  <c r="P105" i="16"/>
  <c r="O105" i="16"/>
  <c r="N105" i="16"/>
  <c r="M105" i="16"/>
  <c r="L105" i="16"/>
  <c r="K105" i="16"/>
  <c r="J105" i="16"/>
  <c r="I105" i="16"/>
  <c r="H105" i="16"/>
  <c r="G105" i="16"/>
  <c r="R104" i="16"/>
  <c r="Q104" i="16"/>
  <c r="P104" i="16"/>
  <c r="O104" i="16"/>
  <c r="N104" i="16"/>
  <c r="M104" i="16"/>
  <c r="L104" i="16"/>
  <c r="K104" i="16"/>
  <c r="J104" i="16"/>
  <c r="I104" i="16"/>
  <c r="H104" i="16"/>
  <c r="G104" i="16"/>
  <c r="R103" i="16"/>
  <c r="Q103" i="16"/>
  <c r="P103"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R97" i="16"/>
  <c r="Q97" i="16"/>
  <c r="P97" i="16"/>
  <c r="O97" i="16"/>
  <c r="N97" i="16"/>
  <c r="M97" i="16"/>
  <c r="L97" i="16"/>
  <c r="K97" i="16"/>
  <c r="J97" i="16"/>
  <c r="I97" i="16"/>
  <c r="H97" i="16"/>
  <c r="G97" i="16"/>
  <c r="R86" i="16"/>
  <c r="R91" i="16" s="1"/>
  <c r="Q86" i="16"/>
  <c r="Q91" i="16" s="1"/>
  <c r="P86" i="16"/>
  <c r="P91" i="16" s="1"/>
  <c r="O86" i="16"/>
  <c r="O91" i="16" s="1"/>
  <c r="N86" i="16"/>
  <c r="N91" i="16" s="1"/>
  <c r="M86" i="16"/>
  <c r="M91" i="16" s="1"/>
  <c r="L86" i="16"/>
  <c r="L91" i="16" s="1"/>
  <c r="K86" i="16"/>
  <c r="K91" i="16" s="1"/>
  <c r="J91" i="16"/>
  <c r="I86" i="16"/>
  <c r="I91" i="16" s="1"/>
  <c r="H86" i="16"/>
  <c r="H91" i="16" s="1"/>
  <c r="G86" i="16"/>
  <c r="G91" i="16" s="1"/>
  <c r="R85" i="16"/>
  <c r="Q85" i="16"/>
  <c r="P85" i="16"/>
  <c r="O85" i="16"/>
  <c r="N85" i="16"/>
  <c r="M85" i="16"/>
  <c r="L85" i="16"/>
  <c r="K85" i="16"/>
  <c r="I85" i="16"/>
  <c r="H85" i="16"/>
  <c r="G85" i="16"/>
  <c r="R84" i="16"/>
  <c r="Q84" i="16"/>
  <c r="P84" i="16"/>
  <c r="O84" i="16"/>
  <c r="N84" i="16"/>
  <c r="M84" i="16"/>
  <c r="L84" i="16"/>
  <c r="K84" i="16"/>
  <c r="I84" i="16"/>
  <c r="H84" i="16"/>
  <c r="G84" i="16"/>
  <c r="R83" i="16"/>
  <c r="Q83" i="16"/>
  <c r="P83" i="16"/>
  <c r="O83" i="16"/>
  <c r="N83" i="16"/>
  <c r="M83" i="16"/>
  <c r="L83" i="16"/>
  <c r="K83" i="16"/>
  <c r="I83" i="16"/>
  <c r="H83" i="16"/>
  <c r="G83" i="16"/>
  <c r="R82" i="16"/>
  <c r="Q82" i="16"/>
  <c r="P82" i="16"/>
  <c r="O82" i="16"/>
  <c r="N82" i="16"/>
  <c r="M82" i="16"/>
  <c r="L82" i="16"/>
  <c r="K82" i="16"/>
  <c r="I82" i="16"/>
  <c r="H82" i="16"/>
  <c r="G82" i="16"/>
  <c r="R81" i="16"/>
  <c r="Q81" i="16"/>
  <c r="P81" i="16"/>
  <c r="O81" i="16"/>
  <c r="N81" i="16"/>
  <c r="M81" i="16"/>
  <c r="L81" i="16"/>
  <c r="K81" i="16"/>
  <c r="I81" i="16"/>
  <c r="H81" i="16"/>
  <c r="G81" i="16"/>
  <c r="R80" i="16"/>
  <c r="Q80" i="16"/>
  <c r="P80" i="16"/>
  <c r="O80" i="16"/>
  <c r="N80" i="16"/>
  <c r="M80" i="16"/>
  <c r="L80" i="16"/>
  <c r="K80" i="16"/>
  <c r="I80" i="16"/>
  <c r="H80" i="16"/>
  <c r="G80" i="16"/>
  <c r="R79" i="16"/>
  <c r="Q79" i="16"/>
  <c r="P79" i="16"/>
  <c r="O79" i="16"/>
  <c r="N79" i="16"/>
  <c r="M79" i="16"/>
  <c r="L79" i="16"/>
  <c r="K79" i="16"/>
  <c r="I79" i="16"/>
  <c r="H79" i="16"/>
  <c r="G79" i="16"/>
  <c r="R78" i="16"/>
  <c r="Q78" i="16"/>
  <c r="P78" i="16"/>
  <c r="O78" i="16"/>
  <c r="N78" i="16"/>
  <c r="M78" i="16"/>
  <c r="L78" i="16"/>
  <c r="K78" i="16"/>
  <c r="I78" i="16"/>
  <c r="H78" i="16"/>
  <c r="G78" i="16"/>
  <c r="R77" i="16"/>
  <c r="Q77" i="16"/>
  <c r="P77" i="16"/>
  <c r="O77" i="16"/>
  <c r="N77" i="16"/>
  <c r="M77" i="16"/>
  <c r="L77" i="16"/>
  <c r="K77" i="16"/>
  <c r="I77" i="16"/>
  <c r="H77" i="16"/>
  <c r="G77" i="16"/>
  <c r="R76" i="16"/>
  <c r="Q76" i="16"/>
  <c r="P76" i="16"/>
  <c r="O76" i="16"/>
  <c r="N76" i="16"/>
  <c r="M76" i="16"/>
  <c r="L76" i="16"/>
  <c r="K76" i="16"/>
  <c r="I76" i="16"/>
  <c r="H76" i="16"/>
  <c r="G76" i="16"/>
  <c r="R75" i="16"/>
  <c r="Q75" i="16"/>
  <c r="P75"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P110" i="16"/>
  <c r="P115" i="16" s="1"/>
  <c r="P88" i="16"/>
  <c r="P92" i="16" s="1"/>
  <c r="Q110" i="16"/>
  <c r="Q115" i="16" s="1"/>
  <c r="N110" i="16"/>
  <c r="N115" i="16" s="1"/>
  <c r="K110" i="16"/>
  <c r="K115" i="16" s="1"/>
  <c r="J88" i="16"/>
  <c r="J92" i="16" s="1"/>
  <c r="R88" i="16"/>
  <c r="R92" i="16" s="1"/>
  <c r="J110" i="16"/>
  <c r="J115" i="16" s="1"/>
  <c r="R110" i="16"/>
  <c r="L110" i="16"/>
  <c r="L115" i="16" s="1"/>
  <c r="M110" i="16"/>
  <c r="M115" i="16" s="1"/>
  <c r="O88" i="16"/>
  <c r="O92" i="16" s="1"/>
  <c r="O110" i="16"/>
  <c r="O115" i="16" s="1"/>
  <c r="E50" i="16"/>
  <c r="G50" i="16"/>
  <c r="H50" i="16"/>
  <c r="I50" i="16"/>
  <c r="M88" i="16"/>
  <c r="M92" i="16" s="1"/>
  <c r="N88" i="16"/>
  <c r="N92" i="16" s="1"/>
  <c r="E27" i="16"/>
  <c r="H27" i="16"/>
  <c r="Q88" i="16"/>
  <c r="Q92" i="16" s="1"/>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Q112" i="16"/>
  <c r="R111" i="16"/>
  <c r="R115" i="16"/>
  <c r="R112" i="16"/>
  <c r="P112" i="16"/>
  <c r="P111" i="16"/>
  <c r="O111" i="16"/>
  <c r="O112" i="16"/>
  <c r="N112" i="16"/>
  <c r="N111" i="16"/>
  <c r="M112" i="16"/>
  <c r="M111" i="16"/>
  <c r="L112" i="16"/>
  <c r="L111" i="16"/>
  <c r="K112" i="16"/>
  <c r="K111" i="16"/>
  <c r="Q111" i="16"/>
  <c r="P89" i="16"/>
  <c r="P130" i="16" s="1"/>
  <c r="L50" i="16"/>
  <c r="M50" i="16"/>
  <c r="P50" i="16"/>
  <c r="O50" i="16"/>
  <c r="Q50" i="16"/>
  <c r="N50" i="16"/>
  <c r="J50" i="16"/>
  <c r="R50" i="16"/>
  <c r="K50" i="16"/>
  <c r="Q89" i="16"/>
  <c r="Q130" i="16" s="1"/>
  <c r="L89" i="16"/>
  <c r="L130" i="16" s="1"/>
  <c r="O89" i="16"/>
  <c r="O130" i="16" s="1"/>
  <c r="N89" i="16"/>
  <c r="N130" i="16" s="1"/>
  <c r="K89" i="16"/>
  <c r="K130" i="16" s="1"/>
  <c r="R89" i="16"/>
  <c r="R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P125" i="16"/>
  <c r="P134" i="16"/>
  <c r="R125" i="16"/>
  <c r="R134" i="16"/>
  <c r="N125" i="16"/>
  <c r="N134" i="16"/>
  <c r="O125" i="16"/>
  <c r="O134" i="16"/>
  <c r="K125" i="16"/>
  <c r="K134" i="16"/>
  <c r="Q125" i="16"/>
  <c r="Q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M211" i="21"/>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94" i="16" s="1"/>
  <c r="P119" i="16" s="1"/>
  <c r="P126" i="16"/>
  <c r="P52" i="16"/>
  <c r="P116" i="16"/>
  <c r="P117" i="16" s="1"/>
  <c r="P120" i="16" s="1"/>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121" i="16"/>
  <c r="P124" i="16" s="1"/>
  <c r="P127" i="16" s="1"/>
  <c r="P129" i="16" s="1"/>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117" i="16" s="1"/>
  <c r="Q120" i="16" s="1"/>
  <c r="Q62" i="16"/>
  <c r="Q126" i="16"/>
  <c r="Q93" i="16"/>
  <c r="Q94" i="16" s="1"/>
  <c r="Q119" i="16" s="1"/>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121" i="16"/>
  <c r="Q124" i="16" s="1"/>
  <c r="Q127" i="16" s="1"/>
  <c r="Q129" i="16" s="1"/>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117" i="16" s="1"/>
  <c r="R120" i="16" s="1"/>
  <c r="R93" i="16"/>
  <c r="R94" i="16" s="1"/>
  <c r="R119" i="16" s="1"/>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21" i="16"/>
  <c r="R124" i="16" s="1"/>
  <c r="R127" i="16" s="1"/>
  <c r="R129" i="16" s="1"/>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M80" i="12" s="1"/>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M40" i="12"/>
  <c r="M35" i="12"/>
  <c r="M28" i="12"/>
  <c r="M29" i="12" s="1"/>
  <c r="P65" i="16"/>
  <c r="P67" i="16" s="1"/>
  <c r="P131" i="16"/>
  <c r="P133" i="16" s="1"/>
  <c r="P135" i="16" s="1"/>
  <c r="O65" i="16"/>
  <c r="O67" i="16" s="1"/>
  <c r="O131" i="16"/>
  <c r="O133" i="16" s="1"/>
  <c r="O135" i="16" s="1"/>
  <c r="Q55" i="16"/>
  <c r="Q53" i="16"/>
  <c r="Q56" i="16" s="1"/>
  <c r="K202" i="23" l="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O69" i="23"/>
  <c r="O70" i="23" s="1"/>
  <c r="O74" i="23" s="1"/>
  <c r="O69" i="24"/>
  <c r="O70" i="24" s="1"/>
  <c r="O74" i="24" s="1"/>
  <c r="O69" i="22"/>
  <c r="O70" i="22" s="1"/>
  <c r="O74" i="22" s="1"/>
  <c r="O69" i="21"/>
  <c r="O70" i="21" s="1"/>
  <c r="O74" i="21" s="1"/>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P69" i="24"/>
  <c r="P70" i="24" s="1"/>
  <c r="P74" i="24" s="1"/>
  <c r="P69" i="23"/>
  <c r="P70" i="23" s="1"/>
  <c r="P74" i="23" s="1"/>
  <c r="P69" i="22"/>
  <c r="P70" i="22" s="1"/>
  <c r="P74" i="22" s="1"/>
  <c r="P69" i="21"/>
  <c r="P70" i="21" s="1"/>
  <c r="P74" i="21" s="1"/>
  <c r="L183" i="23"/>
  <c r="L190" i="23" s="1"/>
  <c r="L156" i="23"/>
  <c r="M51" i="24"/>
  <c r="M36" i="24"/>
  <c r="M37" i="24" s="1"/>
  <c r="K219" i="23"/>
  <c r="K221" i="23" s="1"/>
  <c r="K25" i="20"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53" i="22" l="1"/>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L178" i="12"/>
  <c r="L13" i="20" s="1"/>
  <c r="M102" i="12"/>
  <c r="M103" i="12" s="1"/>
  <c r="M92" i="12"/>
  <c r="M93" i="12" s="1"/>
  <c r="M98" i="12" s="1"/>
  <c r="M99" i="12" s="1"/>
  <c r="K214" i="12"/>
  <c r="K216" i="12" s="1"/>
  <c r="K14" i="20" s="1"/>
  <c r="L190" i="12"/>
  <c r="L200" i="12" s="1"/>
  <c r="P69" i="12"/>
  <c r="P70" i="12" s="1"/>
  <c r="P74" i="12" s="1"/>
  <c r="O69" i="12"/>
  <c r="O70" i="12" s="1"/>
  <c r="O74"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Q131" i="16"/>
  <c r="Q133" i="16" s="1"/>
  <c r="Q135" i="16"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5" i="21" s="1"/>
  <c r="O73" i="22"/>
  <c r="O75" i="22" s="1"/>
  <c r="O90" i="22"/>
  <c r="O78" i="22"/>
  <c r="N98" i="23"/>
  <c r="N99" i="23" s="1"/>
  <c r="N107" i="23" s="1"/>
  <c r="N170" i="23"/>
  <c r="N173" i="23" s="1"/>
  <c r="N197" i="23"/>
  <c r="O78" i="24"/>
  <c r="O90" i="24"/>
  <c r="O73" i="24"/>
  <c r="O75" i="24" s="1"/>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Q69" i="23"/>
  <c r="Q70" i="23" s="1"/>
  <c r="Q74" i="23" s="1"/>
  <c r="Q69" i="24"/>
  <c r="Q70" i="24" s="1"/>
  <c r="Q74" i="24" s="1"/>
  <c r="Q69" i="22"/>
  <c r="Q70" i="22" s="1"/>
  <c r="Q74" i="22" s="1"/>
  <c r="Q69" i="21"/>
  <c r="Q70" i="21" s="1"/>
  <c r="Q74" i="21" s="1"/>
  <c r="N197" i="24"/>
  <c r="N142" i="21"/>
  <c r="N143" i="21" s="1"/>
  <c r="N182" i="21"/>
  <c r="N189" i="21" s="1"/>
  <c r="N155" i="21"/>
  <c r="O73" i="23"/>
  <c r="O75" i="23" s="1"/>
  <c r="O90" i="23"/>
  <c r="O78" i="23"/>
  <c r="N197" i="22"/>
  <c r="M159" i="12"/>
  <c r="M161" i="12" s="1"/>
  <c r="M163" i="12" s="1"/>
  <c r="M184" i="12"/>
  <c r="M191" i="12" s="1"/>
  <c r="N92" i="12"/>
  <c r="N93" i="12" s="1"/>
  <c r="N102" i="12"/>
  <c r="N103" i="12" s="1"/>
  <c r="O85" i="12"/>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O79" i="24"/>
  <c r="O80" i="24" s="1"/>
  <c r="O86" i="24"/>
  <c r="O91" i="24" s="1"/>
  <c r="N196" i="22"/>
  <c r="N198" i="22" s="1"/>
  <c r="N196" i="24"/>
  <c r="N198" i="24" s="1"/>
  <c r="O79" i="22"/>
  <c r="O80" i="22" s="1"/>
  <c r="O86" i="22"/>
  <c r="O91" i="22" s="1"/>
  <c r="N41" i="23"/>
  <c r="N42" i="23" s="1"/>
  <c r="O34" i="23"/>
  <c r="N186" i="21"/>
  <c r="N193" i="21" s="1"/>
  <c r="N108" i="21"/>
  <c r="O79" i="23"/>
  <c r="O80" i="23" s="1"/>
  <c r="O86" i="23"/>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O86" i="21"/>
  <c r="O79" i="21"/>
  <c r="O80" i="21" s="1"/>
  <c r="N186" i="24"/>
  <c r="N193" i="24" s="1"/>
  <c r="N108" i="24"/>
  <c r="N196" i="21"/>
  <c r="N198" i="21" s="1"/>
  <c r="M165" i="24"/>
  <c r="M166" i="24"/>
  <c r="Q69" i="12"/>
  <c r="Q70" i="12" s="1"/>
  <c r="Q74" i="12" s="1"/>
  <c r="N98" i="12"/>
  <c r="N99" i="12" s="1"/>
  <c r="N107" i="12" s="1"/>
  <c r="N170" i="12"/>
  <c r="N173" i="12" s="1"/>
  <c r="M198" i="12"/>
  <c r="M202" i="12"/>
  <c r="M204" i="12"/>
  <c r="M206" i="12" s="1"/>
  <c r="O73" i="12"/>
  <c r="O75" i="12" s="1"/>
  <c r="O78" i="12"/>
  <c r="O90" i="12"/>
  <c r="O140" i="12"/>
  <c r="N147" i="12"/>
  <c r="N148" i="12" s="1"/>
  <c r="N152" i="12" s="1"/>
  <c r="N153" i="12" s="1"/>
  <c r="N183" i="12" s="1"/>
  <c r="N190" i="12" s="1"/>
  <c r="Q14" i="12"/>
  <c r="Q15" i="12" s="1"/>
  <c r="Q125" i="12"/>
  <c r="Q126" i="12" s="1"/>
  <c r="Q129" i="12" s="1"/>
  <c r="N41" i="12"/>
  <c r="N42" i="12" s="1"/>
  <c r="O34" i="12"/>
  <c r="L114" i="12"/>
  <c r="R65" i="16"/>
  <c r="R67" i="16" s="1"/>
  <c r="R131" i="16"/>
  <c r="R133" i="16" s="1"/>
  <c r="R135" i="16" s="1"/>
  <c r="O106" i="22" l="1"/>
  <c r="O87" i="22"/>
  <c r="O88" i="22" s="1"/>
  <c r="N214" i="24"/>
  <c r="N216" i="24" s="1"/>
  <c r="N29" i="20" s="1"/>
  <c r="N214" i="23"/>
  <c r="N216" i="23" s="1"/>
  <c r="N24" i="20" s="1"/>
  <c r="O106" i="23"/>
  <c r="O87" i="23"/>
  <c r="O88" i="23" s="1"/>
  <c r="N214" i="21"/>
  <c r="N216" i="21" s="1"/>
  <c r="N9" i="20" s="1"/>
  <c r="N115" i="24"/>
  <c r="N160" i="24"/>
  <c r="N187" i="24"/>
  <c r="N194" i="24" s="1"/>
  <c r="N160" i="22"/>
  <c r="N187" i="22"/>
  <c r="N194" i="22" s="1"/>
  <c r="N115" i="22"/>
  <c r="N201" i="22"/>
  <c r="O106" i="21"/>
  <c r="O87" i="21"/>
  <c r="O88" i="21" s="1"/>
  <c r="O145" i="22"/>
  <c r="O133" i="22"/>
  <c r="O128" i="22"/>
  <c r="O130" i="22" s="1"/>
  <c r="O91" i="21"/>
  <c r="N187" i="21"/>
  <c r="N194" i="21" s="1"/>
  <c r="N115" i="21"/>
  <c r="N160" i="21"/>
  <c r="N169" i="21"/>
  <c r="N172" i="21" s="1"/>
  <c r="N174" i="21" s="1"/>
  <c r="N176" i="21" s="1"/>
  <c r="N178" i="21" s="1"/>
  <c r="N8" i="20" s="1"/>
  <c r="N47" i="21"/>
  <c r="N48" i="21" s="1"/>
  <c r="N52" i="21" s="1"/>
  <c r="N53" i="21" s="1"/>
  <c r="N156" i="22"/>
  <c r="N157" i="22" s="1"/>
  <c r="N183" i="22"/>
  <c r="N190" i="22" s="1"/>
  <c r="O106" i="24"/>
  <c r="O87" i="24"/>
  <c r="O88" i="24"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91" i="23"/>
  <c r="O27" i="22"/>
  <c r="O22" i="22"/>
  <c r="O24" i="22" s="1"/>
  <c r="O22" i="23"/>
  <c r="O24" i="23" s="1"/>
  <c r="O27" i="23"/>
  <c r="N183" i="24"/>
  <c r="N190" i="24" s="1"/>
  <c r="N156" i="24"/>
  <c r="N157" i="24" s="1"/>
  <c r="O27" i="24"/>
  <c r="O22" i="24"/>
  <c r="O24" i="24" s="1"/>
  <c r="O133" i="23"/>
  <c r="O145" i="23"/>
  <c r="O128" i="23"/>
  <c r="O130" i="23" s="1"/>
  <c r="R69" i="23"/>
  <c r="R70" i="23" s="1"/>
  <c r="R74" i="23" s="1"/>
  <c r="R69" i="24"/>
  <c r="R70" i="24" s="1"/>
  <c r="R74" i="24" s="1"/>
  <c r="R69" i="22"/>
  <c r="R70" i="22" s="1"/>
  <c r="R74" i="22" s="1"/>
  <c r="R69" i="21"/>
  <c r="R70" i="21" s="1"/>
  <c r="R74" i="21"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72" i="12" s="1"/>
  <c r="N174" i="12" s="1"/>
  <c r="N176" i="12" s="1"/>
  <c r="N178" i="12" s="1"/>
  <c r="N13" i="20" s="1"/>
  <c r="N108" i="12"/>
  <c r="N187" i="12" s="1"/>
  <c r="N194" i="12" s="1"/>
  <c r="N186" i="12"/>
  <c r="N193" i="12" s="1"/>
  <c r="N201" i="12" s="1"/>
  <c r="Q23" i="12"/>
  <c r="O79" i="12"/>
  <c r="O80" i="12" s="1"/>
  <c r="O86" i="12"/>
  <c r="O91" i="12" s="1"/>
  <c r="N156" i="12"/>
  <c r="O145" i="12"/>
  <c r="O133" i="12"/>
  <c r="O128" i="12"/>
  <c r="O130" i="12" s="1"/>
  <c r="M114" i="12"/>
  <c r="M116" i="12" s="1"/>
  <c r="O27" i="12"/>
  <c r="O39" i="12" s="1"/>
  <c r="O22" i="12"/>
  <c r="O24" i="12" s="1"/>
  <c r="R69" i="16"/>
  <c r="R71" i="16" s="1"/>
  <c r="O92" i="21" l="1"/>
  <c r="O93" i="21" s="1"/>
  <c r="P85" i="21"/>
  <c r="O102" i="21"/>
  <c r="O103" i="21" s="1"/>
  <c r="N159" i="23"/>
  <c r="N161" i="23" s="1"/>
  <c r="N184" i="23"/>
  <c r="N191" i="23" s="1"/>
  <c r="N61" i="22"/>
  <c r="N114" i="22" s="1"/>
  <c r="N116" i="22" s="1"/>
  <c r="N200" i="23"/>
  <c r="N202" i="23" s="1"/>
  <c r="O28" i="22"/>
  <c r="O29" i="22" s="1"/>
  <c r="O40" i="22"/>
  <c r="O35" i="22"/>
  <c r="O92" i="24"/>
  <c r="O93" i="24" s="1"/>
  <c r="O102" i="24"/>
  <c r="O103" i="24" s="1"/>
  <c r="P85" i="24"/>
  <c r="O185" i="21"/>
  <c r="O192" i="21" s="1"/>
  <c r="N205" i="24"/>
  <c r="N200" i="21"/>
  <c r="N202" i="21" s="1"/>
  <c r="N61" i="23"/>
  <c r="N114" i="23" s="1"/>
  <c r="N116" i="23" s="1"/>
  <c r="O141" i="21"/>
  <c r="O146" i="21"/>
  <c r="O134" i="21"/>
  <c r="O135" i="21" s="1"/>
  <c r="O40" i="24"/>
  <c r="O35" i="24"/>
  <c r="O28" i="24"/>
  <c r="O29" i="24" s="1"/>
  <c r="O39" i="22"/>
  <c r="N61" i="24"/>
  <c r="N114" i="24" s="1"/>
  <c r="N116" i="24" s="1"/>
  <c r="O185" i="24"/>
  <c r="O192" i="24" s="1"/>
  <c r="N205" i="21"/>
  <c r="N184" i="21"/>
  <c r="N191" i="21" s="1"/>
  <c r="N159" i="21"/>
  <c r="N161" i="21" s="1"/>
  <c r="O39" i="24"/>
  <c r="O102" i="23"/>
  <c r="O103" i="23" s="1"/>
  <c r="P85" i="23"/>
  <c r="O92" i="23"/>
  <c r="O93" i="23" s="1"/>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102" i="22"/>
  <c r="O103" i="22" s="1"/>
  <c r="P85" i="22"/>
  <c r="O92" i="22"/>
  <c r="O93" i="22" s="1"/>
  <c r="O35" i="23"/>
  <c r="O28" i="23"/>
  <c r="O29" i="23" s="1"/>
  <c r="O40" i="23"/>
  <c r="O185" i="23"/>
  <c r="O192" i="23"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O185" i="22"/>
  <c r="O192" i="22" s="1"/>
  <c r="R69" i="12"/>
  <c r="R70" i="12" s="1"/>
  <c r="R74" i="12" s="1"/>
  <c r="N160" i="12"/>
  <c r="N115" i="12"/>
  <c r="N205" i="12"/>
  <c r="N157" i="12"/>
  <c r="N200" i="12"/>
  <c r="M164" i="12"/>
  <c r="M166" i="12" s="1"/>
  <c r="O87" i="12"/>
  <c r="O88" i="12" s="1"/>
  <c r="O106" i="12"/>
  <c r="O185" i="12" s="1"/>
  <c r="O192" i="12" s="1"/>
  <c r="O197"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O170" i="24"/>
  <c r="O173" i="24" s="1"/>
  <c r="O98" i="24"/>
  <c r="O99" i="24" s="1"/>
  <c r="O107" i="24" s="1"/>
  <c r="N163" i="23"/>
  <c r="O197" i="24"/>
  <c r="N164" i="23"/>
  <c r="O36" i="23"/>
  <c r="O37" i="23" s="1"/>
  <c r="O51" i="23"/>
  <c r="O197" i="22"/>
  <c r="O98" i="22"/>
  <c r="O99" i="22" s="1"/>
  <c r="O107" i="22" s="1"/>
  <c r="O170" i="22"/>
  <c r="O173" i="22" s="1"/>
  <c r="N219" i="23"/>
  <c r="N221" i="23" s="1"/>
  <c r="N25" i="20" s="1"/>
  <c r="O155" i="21"/>
  <c r="O182" i="21"/>
  <c r="O189" i="21" s="1"/>
  <c r="O142" i="21"/>
  <c r="O143" i="21" s="1"/>
  <c r="N204" i="23"/>
  <c r="N206" i="23" s="1"/>
  <c r="P78" i="22"/>
  <c r="P90" i="22"/>
  <c r="P73" i="22"/>
  <c r="P75" i="22" s="1"/>
  <c r="O182" i="24"/>
  <c r="O189" i="24" s="1"/>
  <c r="O142" i="24"/>
  <c r="O143" i="24" s="1"/>
  <c r="O155" i="24"/>
  <c r="O170" i="23"/>
  <c r="O173" i="23" s="1"/>
  <c r="O98" i="23"/>
  <c r="O99" i="23" s="1"/>
  <c r="O107" i="23" s="1"/>
  <c r="N204" i="21"/>
  <c r="N206" i="21" s="1"/>
  <c r="O197" i="21"/>
  <c r="N219" i="21"/>
  <c r="N221" i="21" s="1"/>
  <c r="N10" i="20" s="1"/>
  <c r="P90" i="23"/>
  <c r="P78" i="23"/>
  <c r="P73" i="23"/>
  <c r="P75" i="23" s="1"/>
  <c r="O36" i="22"/>
  <c r="O37" i="22" s="1"/>
  <c r="O51" i="22"/>
  <c r="O197" i="23"/>
  <c r="N164" i="24"/>
  <c r="P90" i="24"/>
  <c r="P78" i="24"/>
  <c r="P73" i="24"/>
  <c r="P75" i="24" s="1"/>
  <c r="P78" i="21"/>
  <c r="P73" i="21"/>
  <c r="P75" i="21" s="1"/>
  <c r="P90" i="21"/>
  <c r="N204" i="24"/>
  <c r="N206" i="24" s="1"/>
  <c r="O170" i="21"/>
  <c r="O173" i="21" s="1"/>
  <c r="O98" i="21"/>
  <c r="O99" i="21" s="1"/>
  <c r="O107" i="21" s="1"/>
  <c r="M165" i="12"/>
  <c r="N159" i="12"/>
  <c r="N161" i="12" s="1"/>
  <c r="N163" i="12" s="1"/>
  <c r="N184" i="12"/>
  <c r="N191" i="12" s="1"/>
  <c r="O102" i="12"/>
  <c r="O103" i="12" s="1"/>
  <c r="O92" i="12"/>
  <c r="O93" i="12" s="1"/>
  <c r="P85" i="12"/>
  <c r="O155" i="12"/>
  <c r="O189" i="12" s="1"/>
  <c r="O196" i="12" s="1"/>
  <c r="O142" i="12"/>
  <c r="O143" i="12" s="1"/>
  <c r="O36" i="12"/>
  <c r="O37" i="12" s="1"/>
  <c r="O51" i="12"/>
  <c r="N166" i="22" l="1"/>
  <c r="N165" i="24"/>
  <c r="N165" i="21"/>
  <c r="O41" i="22"/>
  <c r="O42" i="22" s="1"/>
  <c r="P34" i="22"/>
  <c r="O41" i="21"/>
  <c r="O42" i="21" s="1"/>
  <c r="P34" i="21"/>
  <c r="O186" i="21"/>
  <c r="O193" i="21" s="1"/>
  <c r="O108" i="21"/>
  <c r="P140" i="24"/>
  <c r="O147" i="24"/>
  <c r="O148" i="24" s="1"/>
  <c r="O152" i="24" s="1"/>
  <c r="O153" i="24" s="1"/>
  <c r="O196" i="23"/>
  <c r="O198" i="23" s="1"/>
  <c r="P79" i="24"/>
  <c r="P80" i="24" s="1"/>
  <c r="P86" i="24"/>
  <c r="P91" i="24" s="1"/>
  <c r="O196" i="24"/>
  <c r="O198" i="24" s="1"/>
  <c r="O196" i="21"/>
  <c r="O198" i="21" s="1"/>
  <c r="N166" i="23"/>
  <c r="N165" i="23"/>
  <c r="P140" i="22"/>
  <c r="O147" i="22"/>
  <c r="O148" i="22" s="1"/>
  <c r="O152" i="22" s="1"/>
  <c r="O153" i="22" s="1"/>
  <c r="P140" i="23"/>
  <c r="O147" i="23"/>
  <c r="O148" i="23" s="1"/>
  <c r="O152" i="23" s="1"/>
  <c r="O153" i="23" s="1"/>
  <c r="P79" i="22"/>
  <c r="P80" i="22" s="1"/>
  <c r="P86" i="22"/>
  <c r="P91" i="22" s="1"/>
  <c r="O41" i="23"/>
  <c r="O42" i="23" s="1"/>
  <c r="P34" i="23"/>
  <c r="O196" i="22"/>
  <c r="O198" i="22" s="1"/>
  <c r="P34" i="24"/>
  <c r="O41" i="24"/>
  <c r="O42" i="24" s="1"/>
  <c r="P140" i="21"/>
  <c r="O147" i="21"/>
  <c r="O148" i="21" s="1"/>
  <c r="O152" i="21" s="1"/>
  <c r="O153" i="21" s="1"/>
  <c r="P79" i="23"/>
  <c r="P80" i="23" s="1"/>
  <c r="P86" i="23"/>
  <c r="P91" i="23" s="1"/>
  <c r="O186" i="24"/>
  <c r="O193" i="24" s="1"/>
  <c r="O201" i="24" s="1"/>
  <c r="O108" i="24"/>
  <c r="N165" i="22"/>
  <c r="P86" i="21"/>
  <c r="P91" i="21" s="1"/>
  <c r="P79" i="21"/>
  <c r="P80" i="21" s="1"/>
  <c r="O186" i="23"/>
  <c r="O193" i="23" s="1"/>
  <c r="O108" i="23"/>
  <c r="O186" i="22"/>
  <c r="O193" i="22" s="1"/>
  <c r="O108" i="22"/>
  <c r="N166" i="21"/>
  <c r="N166" i="24"/>
  <c r="O98" i="12"/>
  <c r="O99" i="12" s="1"/>
  <c r="O107" i="12" s="1"/>
  <c r="O170" i="12"/>
  <c r="O173" i="12" s="1"/>
  <c r="N198" i="12"/>
  <c r="N202" i="12"/>
  <c r="N204" i="12"/>
  <c r="N206" i="12" s="1"/>
  <c r="P90" i="12"/>
  <c r="P73" i="12"/>
  <c r="P75" i="12" s="1"/>
  <c r="P78" i="12"/>
  <c r="P140" i="12"/>
  <c r="O147" i="12"/>
  <c r="O148" i="12" s="1"/>
  <c r="O152" i="12" s="1"/>
  <c r="O153" i="12" s="1"/>
  <c r="O183" i="12" s="1"/>
  <c r="N114" i="12"/>
  <c r="N116" i="12" s="1"/>
  <c r="O41" i="12"/>
  <c r="O42" i="12" s="1"/>
  <c r="P34" i="12"/>
  <c r="P87" i="24" l="1"/>
  <c r="P88" i="24" s="1"/>
  <c r="P106" i="24"/>
  <c r="O214" i="21"/>
  <c r="O216" i="21" s="1"/>
  <c r="O9" i="20" s="1"/>
  <c r="P106" i="23"/>
  <c r="P87" i="23"/>
  <c r="P88" i="23" s="1"/>
  <c r="P27" i="23"/>
  <c r="P39" i="23" s="1"/>
  <c r="P22" i="23"/>
  <c r="P24" i="23" s="1"/>
  <c r="P128" i="22"/>
  <c r="P130" i="22" s="1"/>
  <c r="P145" i="22"/>
  <c r="P133" i="22"/>
  <c r="P106" i="21"/>
  <c r="P87" i="21"/>
  <c r="P88" i="21" s="1"/>
  <c r="O47" i="23"/>
  <c r="O48" i="23" s="1"/>
  <c r="O52" i="23" s="1"/>
  <c r="O53" i="23" s="1"/>
  <c r="O61" i="23" s="1"/>
  <c r="O114" i="23" s="1"/>
  <c r="O169" i="23"/>
  <c r="O172" i="23" s="1"/>
  <c r="O174" i="23" s="1"/>
  <c r="O176" i="23" s="1"/>
  <c r="O178" i="23" s="1"/>
  <c r="O23" i="20" s="1"/>
  <c r="O187" i="21"/>
  <c r="O194" i="21" s="1"/>
  <c r="O205" i="21" s="1"/>
  <c r="O115" i="21"/>
  <c r="O160" i="21"/>
  <c r="O214" i="23"/>
  <c r="O216" i="23" s="1"/>
  <c r="O24" i="20" s="1"/>
  <c r="O183" i="21"/>
  <c r="O190" i="21" s="1"/>
  <c r="O200" i="21" s="1"/>
  <c r="O156" i="21"/>
  <c r="O157" i="21" s="1"/>
  <c r="O201" i="21"/>
  <c r="P87" i="22"/>
  <c r="P88" i="22" s="1"/>
  <c r="P106" i="22"/>
  <c r="P128" i="21"/>
  <c r="P130" i="21" s="1"/>
  <c r="P145" i="21"/>
  <c r="P133" i="21"/>
  <c r="P27" i="21"/>
  <c r="P39" i="21" s="1"/>
  <c r="P22" i="21"/>
  <c r="P24" i="21" s="1"/>
  <c r="O187" i="23"/>
  <c r="O194" i="23" s="1"/>
  <c r="O205" i="23" s="1"/>
  <c r="O160" i="23"/>
  <c r="O115" i="23"/>
  <c r="O187" i="24"/>
  <c r="O194" i="24" s="1"/>
  <c r="O115" i="24"/>
  <c r="O160" i="24"/>
  <c r="O169" i="24"/>
  <c r="O172" i="24" s="1"/>
  <c r="O174" i="24" s="1"/>
  <c r="O176" i="24" s="1"/>
  <c r="O178" i="24" s="1"/>
  <c r="O28" i="20" s="1"/>
  <c r="O47" i="24"/>
  <c r="O48" i="24" s="1"/>
  <c r="O52" i="24" s="1"/>
  <c r="O53" i="24" s="1"/>
  <c r="O61" i="24" s="1"/>
  <c r="O114" i="24" s="1"/>
  <c r="O169" i="21"/>
  <c r="O172" i="21" s="1"/>
  <c r="O174" i="21" s="1"/>
  <c r="O176" i="21" s="1"/>
  <c r="O178" i="21" s="1"/>
  <c r="O8" i="20" s="1"/>
  <c r="O47" i="21"/>
  <c r="O48" i="21" s="1"/>
  <c r="O52" i="21" s="1"/>
  <c r="O53" i="21" s="1"/>
  <c r="O201" i="23"/>
  <c r="P27" i="24"/>
  <c r="P22" i="24"/>
  <c r="P24" i="24" s="1"/>
  <c r="O156" i="23"/>
  <c r="O157" i="23" s="1"/>
  <c r="O183" i="23"/>
  <c r="O190" i="23" s="1"/>
  <c r="O200" i="23" s="1"/>
  <c r="O214" i="22"/>
  <c r="O216" i="22" s="1"/>
  <c r="O19" i="20" s="1"/>
  <c r="O214" i="24"/>
  <c r="O216" i="24" s="1"/>
  <c r="O29" i="20" s="1"/>
  <c r="O115" i="22"/>
  <c r="O160" i="22"/>
  <c r="O187" i="22"/>
  <c r="O194" i="22" s="1"/>
  <c r="P128" i="23"/>
  <c r="P130" i="23" s="1"/>
  <c r="P145" i="23"/>
  <c r="P133" i="23"/>
  <c r="O183" i="24"/>
  <c r="O190" i="24" s="1"/>
  <c r="O200" i="24" s="1"/>
  <c r="O202" i="24" s="1"/>
  <c r="O156" i="24"/>
  <c r="O157" i="24" s="1"/>
  <c r="P22" i="22"/>
  <c r="P24" i="22" s="1"/>
  <c r="P27" i="22"/>
  <c r="P39" i="22" s="1"/>
  <c r="O201" i="22"/>
  <c r="O183" i="22"/>
  <c r="O190" i="22" s="1"/>
  <c r="O200" i="22" s="1"/>
  <c r="O156" i="22"/>
  <c r="O157" i="22" s="1"/>
  <c r="P133" i="24"/>
  <c r="P145" i="24"/>
  <c r="P128" i="24"/>
  <c r="P130" i="24" s="1"/>
  <c r="O47" i="22"/>
  <c r="O48" i="22" s="1"/>
  <c r="O52" i="22" s="1"/>
  <c r="O53" i="22" s="1"/>
  <c r="O61" i="22" s="1"/>
  <c r="O114" i="22" s="1"/>
  <c r="O169" i="22"/>
  <c r="O172" i="22" s="1"/>
  <c r="O174" i="22" s="1"/>
  <c r="O176" i="22" s="1"/>
  <c r="O178" i="22" s="1"/>
  <c r="O18" i="20" s="1"/>
  <c r="N219" i="12"/>
  <c r="N214" i="12"/>
  <c r="N216" i="12" s="1"/>
  <c r="N14" i="20" s="1"/>
  <c r="O47" i="12"/>
  <c r="O48" i="12" s="1"/>
  <c r="O52" i="12" s="1"/>
  <c r="O53" i="12" s="1"/>
  <c r="O61" i="12" s="1"/>
  <c r="O169" i="12"/>
  <c r="O172" i="12" s="1"/>
  <c r="O174" i="12" s="1"/>
  <c r="O176" i="12" s="1"/>
  <c r="O178" i="12" s="1"/>
  <c r="O13" i="20" s="1"/>
  <c r="O108" i="12"/>
  <c r="O187" i="12" s="1"/>
  <c r="O194" i="12" s="1"/>
  <c r="O186" i="12"/>
  <c r="O193" i="12" s="1"/>
  <c r="O201" i="12" s="1"/>
  <c r="N164" i="12"/>
  <c r="N165" i="12" s="1"/>
  <c r="P79" i="12"/>
  <c r="P80" i="12" s="1"/>
  <c r="P86" i="12"/>
  <c r="P91" i="12" s="1"/>
  <c r="O156" i="12"/>
  <c r="P145" i="12"/>
  <c r="P128" i="12"/>
  <c r="P130" i="12" s="1"/>
  <c r="P133" i="12"/>
  <c r="P27" i="12"/>
  <c r="P39" i="12" s="1"/>
  <c r="P22" i="12"/>
  <c r="P24" i="12" s="1"/>
  <c r="O202" i="22" l="1"/>
  <c r="O219" i="22" s="1"/>
  <c r="O221" i="22" s="1"/>
  <c r="O20" i="20" s="1"/>
  <c r="O116" i="23"/>
  <c r="O164" i="23" s="1"/>
  <c r="O219" i="24"/>
  <c r="O221" i="24" s="1"/>
  <c r="O30" i="20" s="1"/>
  <c r="O61" i="21"/>
  <c r="O114" i="21" s="1"/>
  <c r="O116" i="21" s="1"/>
  <c r="Q85" i="21"/>
  <c r="P102" i="21"/>
  <c r="P103" i="21" s="1"/>
  <c r="P92" i="21"/>
  <c r="P93" i="21" s="1"/>
  <c r="P102" i="23"/>
  <c r="P103" i="23" s="1"/>
  <c r="Q85" i="23"/>
  <c r="P92" i="23"/>
  <c r="P93" i="23" s="1"/>
  <c r="P40" i="22"/>
  <c r="P35" i="22"/>
  <c r="P28" i="22"/>
  <c r="P29" i="22" s="1"/>
  <c r="O205" i="22"/>
  <c r="O184" i="23"/>
  <c r="O191" i="23" s="1"/>
  <c r="O159" i="23"/>
  <c r="O161" i="23" s="1"/>
  <c r="O163" i="23" s="1"/>
  <c r="P185" i="21"/>
  <c r="P192" i="21" s="1"/>
  <c r="P197" i="21" s="1"/>
  <c r="P185" i="23"/>
  <c r="P192" i="23" s="1"/>
  <c r="P197" i="23" s="1"/>
  <c r="O184" i="24"/>
  <c r="O191" i="24" s="1"/>
  <c r="O204" i="24" s="1"/>
  <c r="O159" i="24"/>
  <c r="O161" i="24" s="1"/>
  <c r="O163" i="24" s="1"/>
  <c r="P141" i="21"/>
  <c r="P134" i="21"/>
  <c r="P135" i="21" s="1"/>
  <c r="P146" i="21"/>
  <c r="O116" i="22"/>
  <c r="P35" i="24"/>
  <c r="P28" i="24"/>
  <c r="P29" i="24" s="1"/>
  <c r="P40" i="24"/>
  <c r="P185" i="22"/>
  <c r="P192" i="22" s="1"/>
  <c r="P197" i="22" s="1"/>
  <c r="O184" i="22"/>
  <c r="O191" i="22" s="1"/>
  <c r="O204" i="22" s="1"/>
  <c r="O159" i="22"/>
  <c r="O161" i="22" s="1"/>
  <c r="P39" i="24"/>
  <c r="P92" i="22"/>
  <c r="P93" i="22" s="1"/>
  <c r="Q85" i="22"/>
  <c r="P102" i="22"/>
  <c r="P103" i="22" s="1"/>
  <c r="P35" i="21"/>
  <c r="P28" i="21"/>
  <c r="P29" i="21" s="1"/>
  <c r="P40" i="21"/>
  <c r="P134" i="22"/>
  <c r="P135" i="22" s="1"/>
  <c r="P146" i="22"/>
  <c r="P141" i="22"/>
  <c r="P141" i="24"/>
  <c r="P134" i="24"/>
  <c r="P135" i="24" s="1"/>
  <c r="P146" i="24"/>
  <c r="O116" i="24"/>
  <c r="O202" i="21"/>
  <c r="O219" i="21" s="1"/>
  <c r="O221" i="21" s="1"/>
  <c r="O10" i="20" s="1"/>
  <c r="P40" i="23"/>
  <c r="P35" i="23"/>
  <c r="P28" i="23"/>
  <c r="P29" i="23" s="1"/>
  <c r="P185" i="24"/>
  <c r="P192" i="24" s="1"/>
  <c r="P197" i="24" s="1"/>
  <c r="P141" i="23"/>
  <c r="P134" i="23"/>
  <c r="P135" i="23" s="1"/>
  <c r="P146" i="23"/>
  <c r="O202" i="23"/>
  <c r="O219" i="23" s="1"/>
  <c r="O221" i="23" s="1"/>
  <c r="O25" i="20" s="1"/>
  <c r="O205" i="24"/>
  <c r="O184" i="21"/>
  <c r="O191" i="21" s="1"/>
  <c r="O204" i="21" s="1"/>
  <c r="O206" i="21" s="1"/>
  <c r="O159" i="21"/>
  <c r="O161" i="21" s="1"/>
  <c r="O163" i="21" s="1"/>
  <c r="P102" i="24"/>
  <c r="P103" i="24" s="1"/>
  <c r="P92" i="24"/>
  <c r="P93" i="24" s="1"/>
  <c r="Q85" i="24"/>
  <c r="N221" i="12"/>
  <c r="N15" i="20" s="1"/>
  <c r="N166" i="12"/>
  <c r="O115" i="12"/>
  <c r="O160" i="12"/>
  <c r="O205" i="12"/>
  <c r="O157" i="12"/>
  <c r="O190" i="12"/>
  <c r="O200" i="12" s="1"/>
  <c r="O202" i="12" s="1"/>
  <c r="P87" i="12"/>
  <c r="P88" i="12" s="1"/>
  <c r="P106" i="12"/>
  <c r="P185" i="12" s="1"/>
  <c r="P192" i="12" s="1"/>
  <c r="P197" i="12" s="1"/>
  <c r="P134" i="12"/>
  <c r="P135" i="12" s="1"/>
  <c r="P182" i="12" s="1"/>
  <c r="P146" i="12"/>
  <c r="P141" i="12"/>
  <c r="P28" i="12"/>
  <c r="P29" i="12" s="1"/>
  <c r="P35" i="12"/>
  <c r="P40" i="12"/>
  <c r="O206" i="24" l="1"/>
  <c r="O206" i="22"/>
  <c r="P155" i="24"/>
  <c r="P142" i="24"/>
  <c r="P143" i="24" s="1"/>
  <c r="P182" i="24"/>
  <c r="P189" i="24" s="1"/>
  <c r="P196" i="24" s="1"/>
  <c r="P198" i="24" s="1"/>
  <c r="P214" i="24" s="1"/>
  <c r="P216" i="24" s="1"/>
  <c r="P29" i="20" s="1"/>
  <c r="P182" i="21"/>
  <c r="P189" i="21" s="1"/>
  <c r="P196" i="21" s="1"/>
  <c r="P198" i="21" s="1"/>
  <c r="P214" i="21" s="1"/>
  <c r="P216" i="21" s="1"/>
  <c r="P9" i="20" s="1"/>
  <c r="P142" i="21"/>
  <c r="P143" i="21" s="1"/>
  <c r="P155" i="21"/>
  <c r="O163" i="22"/>
  <c r="P155" i="22"/>
  <c r="P182" i="22"/>
  <c r="P189" i="22" s="1"/>
  <c r="P196" i="22" s="1"/>
  <c r="P198" i="22" s="1"/>
  <c r="P214" i="22" s="1"/>
  <c r="P216" i="22" s="1"/>
  <c r="P19" i="20" s="1"/>
  <c r="P142" i="22"/>
  <c r="P143" i="22" s="1"/>
  <c r="Q78" i="22"/>
  <c r="Q73" i="22"/>
  <c r="Q75" i="22" s="1"/>
  <c r="Q90" i="22"/>
  <c r="P170" i="21"/>
  <c r="P173" i="21" s="1"/>
  <c r="P98" i="21"/>
  <c r="P99" i="21" s="1"/>
  <c r="P107" i="21" s="1"/>
  <c r="P170" i="22"/>
  <c r="P173" i="22" s="1"/>
  <c r="P98" i="22"/>
  <c r="P99" i="22" s="1"/>
  <c r="P107" i="22" s="1"/>
  <c r="P51" i="22"/>
  <c r="P36" i="22"/>
  <c r="P37" i="22" s="1"/>
  <c r="Q73" i="21"/>
  <c r="Q75" i="21" s="1"/>
  <c r="Q78" i="21"/>
  <c r="Q90" i="21"/>
  <c r="Q78" i="24"/>
  <c r="Q73" i="24"/>
  <c r="Q75" i="24" s="1"/>
  <c r="Q90" i="24"/>
  <c r="P170" i="24"/>
  <c r="P173" i="24" s="1"/>
  <c r="P98" i="24"/>
  <c r="P99" i="24" s="1"/>
  <c r="P107" i="24" s="1"/>
  <c r="P142" i="23"/>
  <c r="P143" i="23" s="1"/>
  <c r="P155" i="23"/>
  <c r="P182" i="23"/>
  <c r="P189" i="23" s="1"/>
  <c r="P196" i="23" s="1"/>
  <c r="P198" i="23" s="1"/>
  <c r="P214" i="23" s="1"/>
  <c r="P216" i="23" s="1"/>
  <c r="P24" i="20" s="1"/>
  <c r="O164" i="24"/>
  <c r="O165" i="24" s="1"/>
  <c r="P51" i="24"/>
  <c r="P36" i="24"/>
  <c r="P37" i="24" s="1"/>
  <c r="O166" i="23"/>
  <c r="O165" i="23"/>
  <c r="P36" i="21"/>
  <c r="P37" i="21" s="1"/>
  <c r="P51" i="21"/>
  <c r="P98" i="23"/>
  <c r="P99" i="23" s="1"/>
  <c r="P107" i="23" s="1"/>
  <c r="P170" i="23"/>
  <c r="P173" i="23" s="1"/>
  <c r="Q73" i="23"/>
  <c r="Q75" i="23" s="1"/>
  <c r="Q90" i="23"/>
  <c r="Q78" i="23"/>
  <c r="P51" i="23"/>
  <c r="P36" i="23"/>
  <c r="P37" i="23" s="1"/>
  <c r="O164" i="21"/>
  <c r="O165" i="21" s="1"/>
  <c r="O164" i="22"/>
  <c r="O204" i="23"/>
  <c r="O206" i="23" s="1"/>
  <c r="O159" i="12"/>
  <c r="O161" i="12" s="1"/>
  <c r="O163" i="12" s="1"/>
  <c r="O184" i="12"/>
  <c r="O191" i="12" s="1"/>
  <c r="Q85" i="12"/>
  <c r="P92" i="12"/>
  <c r="P93" i="12" s="1"/>
  <c r="P102" i="12"/>
  <c r="P103" i="12" s="1"/>
  <c r="P155" i="12"/>
  <c r="P189" i="12" s="1"/>
  <c r="P196" i="12" s="1"/>
  <c r="P142" i="12"/>
  <c r="P143" i="12" s="1"/>
  <c r="P51" i="12"/>
  <c r="P36" i="12"/>
  <c r="P37" i="12" s="1"/>
  <c r="O166" i="24" l="1"/>
  <c r="P41" i="21"/>
  <c r="P42" i="21" s="1"/>
  <c r="Q34" i="21"/>
  <c r="Q79" i="23"/>
  <c r="Q80" i="23" s="1"/>
  <c r="Q86" i="23"/>
  <c r="Q91" i="23" s="1"/>
  <c r="P41" i="24"/>
  <c r="P42" i="24" s="1"/>
  <c r="Q34" i="24"/>
  <c r="Q86" i="24"/>
  <c r="Q91" i="24" s="1"/>
  <c r="Q79" i="24"/>
  <c r="Q80" i="24" s="1"/>
  <c r="P147" i="21"/>
  <c r="P148" i="21" s="1"/>
  <c r="P152" i="21" s="1"/>
  <c r="P153" i="21" s="1"/>
  <c r="Q140" i="21"/>
  <c r="Q86" i="22"/>
  <c r="Q91" i="22" s="1"/>
  <c r="Q79" i="22"/>
  <c r="Q80" i="22" s="1"/>
  <c r="O166" i="22"/>
  <c r="O165" i="22"/>
  <c r="P147" i="23"/>
  <c r="P148" i="23" s="1"/>
  <c r="P152" i="23" s="1"/>
  <c r="P153" i="23" s="1"/>
  <c r="Q140" i="23"/>
  <c r="P147" i="22"/>
  <c r="P148" i="22" s="1"/>
  <c r="P152" i="22" s="1"/>
  <c r="P153" i="22" s="1"/>
  <c r="Q140" i="22"/>
  <c r="P147" i="24"/>
  <c r="P148" i="24" s="1"/>
  <c r="P152" i="24" s="1"/>
  <c r="P153" i="24" s="1"/>
  <c r="Q140" i="24"/>
  <c r="Q34" i="22"/>
  <c r="P41" i="22"/>
  <c r="P42" i="22" s="1"/>
  <c r="P186" i="22"/>
  <c r="P193" i="22" s="1"/>
  <c r="P201" i="22" s="1"/>
  <c r="P108" i="22"/>
  <c r="P41" i="23"/>
  <c r="P42" i="23" s="1"/>
  <c r="Q34" i="23"/>
  <c r="P186" i="21"/>
  <c r="P193" i="21" s="1"/>
  <c r="P201" i="21" s="1"/>
  <c r="P108" i="21"/>
  <c r="P186" i="23"/>
  <c r="P193" i="23" s="1"/>
  <c r="P201" i="23" s="1"/>
  <c r="P108" i="23"/>
  <c r="P186" i="24"/>
  <c r="P193" i="24" s="1"/>
  <c r="P201" i="24" s="1"/>
  <c r="P108" i="24"/>
  <c r="Q79" i="21"/>
  <c r="Q80" i="21" s="1"/>
  <c r="Q86" i="21"/>
  <c r="O166" i="21"/>
  <c r="P98" i="12"/>
  <c r="P99" i="12" s="1"/>
  <c r="P107" i="12" s="1"/>
  <c r="P170" i="12"/>
  <c r="P173" i="12" s="1"/>
  <c r="O198" i="12"/>
  <c r="O204" i="12"/>
  <c r="O206" i="12" s="1"/>
  <c r="O114" i="12"/>
  <c r="O116" i="12" s="1"/>
  <c r="Q73" i="12"/>
  <c r="Q75" i="12" s="1"/>
  <c r="Q90" i="12"/>
  <c r="Q78" i="12"/>
  <c r="P147" i="12"/>
  <c r="P148" i="12" s="1"/>
  <c r="P152" i="12" s="1"/>
  <c r="P153" i="12" s="1"/>
  <c r="P183" i="12" s="1"/>
  <c r="Q140" i="12"/>
  <c r="Q34" i="12"/>
  <c r="P41" i="12"/>
  <c r="P42" i="12" s="1"/>
  <c r="Q106" i="22" l="1"/>
  <c r="Q87" i="22"/>
  <c r="Q88" i="22" s="1"/>
  <c r="Q22" i="22"/>
  <c r="Q24" i="22" s="1"/>
  <c r="Q27" i="22"/>
  <c r="Q39" i="22" s="1"/>
  <c r="P183" i="23"/>
  <c r="P190" i="23" s="1"/>
  <c r="P200" i="23" s="1"/>
  <c r="P202" i="23" s="1"/>
  <c r="P219" i="23" s="1"/>
  <c r="P221" i="23" s="1"/>
  <c r="P25" i="20" s="1"/>
  <c r="P156" i="23"/>
  <c r="P157" i="23" s="1"/>
  <c r="P187" i="24"/>
  <c r="P194" i="24" s="1"/>
  <c r="P205" i="24" s="1"/>
  <c r="P115" i="24"/>
  <c r="P160" i="24"/>
  <c r="Q145" i="24"/>
  <c r="Q133" i="24"/>
  <c r="Q128" i="24"/>
  <c r="Q130" i="24" s="1"/>
  <c r="Q22" i="24"/>
  <c r="Q24" i="24" s="1"/>
  <c r="Q27" i="24"/>
  <c r="P183" i="24"/>
  <c r="P190" i="24" s="1"/>
  <c r="P200" i="24" s="1"/>
  <c r="P202" i="24" s="1"/>
  <c r="P219" i="24" s="1"/>
  <c r="P221" i="24" s="1"/>
  <c r="P30" i="20" s="1"/>
  <c r="P156" i="24"/>
  <c r="P157" i="24" s="1"/>
  <c r="P169" i="24"/>
  <c r="P172" i="24" s="1"/>
  <c r="P174" i="24" s="1"/>
  <c r="P176" i="24" s="1"/>
  <c r="P178" i="24" s="1"/>
  <c r="P28" i="20" s="1"/>
  <c r="P47" i="24"/>
  <c r="P48" i="24" s="1"/>
  <c r="P52" i="24" s="1"/>
  <c r="P53" i="24" s="1"/>
  <c r="P61" i="24" s="1"/>
  <c r="P114" i="24" s="1"/>
  <c r="Q128" i="22"/>
  <c r="Q130" i="22" s="1"/>
  <c r="Q145" i="22"/>
  <c r="Q133" i="22"/>
  <c r="P169" i="23"/>
  <c r="P172" i="23" s="1"/>
  <c r="P174" i="23" s="1"/>
  <c r="P176" i="23" s="1"/>
  <c r="P178" i="23" s="1"/>
  <c r="P23" i="20" s="1"/>
  <c r="P47" i="23"/>
  <c r="P48" i="23" s="1"/>
  <c r="P52" i="23" s="1"/>
  <c r="P53" i="23" s="1"/>
  <c r="P61" i="23" s="1"/>
  <c r="P114" i="23" s="1"/>
  <c r="P156" i="22"/>
  <c r="P157" i="22" s="1"/>
  <c r="P183" i="22"/>
  <c r="P190" i="22" s="1"/>
  <c r="P200" i="22" s="1"/>
  <c r="P202" i="22" s="1"/>
  <c r="P219" i="22" s="1"/>
  <c r="P221" i="22" s="1"/>
  <c r="P20" i="20" s="1"/>
  <c r="P115" i="23"/>
  <c r="P160" i="23"/>
  <c r="P187" i="23"/>
  <c r="P194" i="23" s="1"/>
  <c r="P205" i="23" s="1"/>
  <c r="Q87" i="23"/>
  <c r="Q88" i="23" s="1"/>
  <c r="Q106" i="23"/>
  <c r="P115" i="22"/>
  <c r="P187" i="22"/>
  <c r="P194" i="22" s="1"/>
  <c r="P205" i="22" s="1"/>
  <c r="P160" i="22"/>
  <c r="Q128" i="21"/>
  <c r="Q130" i="21" s="1"/>
  <c r="Q145" i="21"/>
  <c r="Q133" i="21"/>
  <c r="Q106" i="21"/>
  <c r="Q87" i="21"/>
  <c r="Q88" i="21" s="1"/>
  <c r="P115" i="21"/>
  <c r="P160" i="21"/>
  <c r="P187" i="21"/>
  <c r="P194" i="21" s="1"/>
  <c r="P205" i="21" s="1"/>
  <c r="Q106" i="24"/>
  <c r="Q87" i="24"/>
  <c r="Q88" i="24" s="1"/>
  <c r="P183" i="21"/>
  <c r="P190" i="21" s="1"/>
  <c r="P200" i="21" s="1"/>
  <c r="P202" i="21" s="1"/>
  <c r="P219" i="21" s="1"/>
  <c r="P221" i="21" s="1"/>
  <c r="P10" i="20" s="1"/>
  <c r="P156" i="21"/>
  <c r="P157" i="21" s="1"/>
  <c r="Q27" i="21"/>
  <c r="Q22" i="21"/>
  <c r="Q24" i="21" s="1"/>
  <c r="Q22" i="23"/>
  <c r="Q24" i="23" s="1"/>
  <c r="Q27" i="23"/>
  <c r="Q91" i="21"/>
  <c r="P169" i="22"/>
  <c r="P172" i="22" s="1"/>
  <c r="P174" i="22" s="1"/>
  <c r="P176" i="22" s="1"/>
  <c r="P178" i="22" s="1"/>
  <c r="P18" i="20" s="1"/>
  <c r="P47" i="22"/>
  <c r="P48" i="22" s="1"/>
  <c r="P52" i="22" s="1"/>
  <c r="P53" i="22" s="1"/>
  <c r="P61" i="22" s="1"/>
  <c r="P114" i="22" s="1"/>
  <c r="Q145" i="23"/>
  <c r="Q133" i="23"/>
  <c r="Q128" i="23"/>
  <c r="Q130" i="23" s="1"/>
  <c r="P47" i="21"/>
  <c r="P48" i="21" s="1"/>
  <c r="P52" i="21" s="1"/>
  <c r="P53" i="21" s="1"/>
  <c r="P61" i="21" s="1"/>
  <c r="P114" i="21" s="1"/>
  <c r="P169" i="21"/>
  <c r="P172" i="21" s="1"/>
  <c r="P174" i="21" s="1"/>
  <c r="P176" i="21" s="1"/>
  <c r="P178" i="21" s="1"/>
  <c r="P8" i="20" s="1"/>
  <c r="O219" i="12"/>
  <c r="O221" i="12" s="1"/>
  <c r="O15" i="20" s="1"/>
  <c r="O214" i="12"/>
  <c r="O216" i="12" s="1"/>
  <c r="O14" i="20" s="1"/>
  <c r="P47" i="12"/>
  <c r="P48" i="12" s="1"/>
  <c r="P169" i="12"/>
  <c r="P172" i="12" s="1"/>
  <c r="P174" i="12" s="1"/>
  <c r="P176" i="12" s="1"/>
  <c r="P178" i="12" s="1"/>
  <c r="P13" i="20" s="1"/>
  <c r="P108" i="12"/>
  <c r="P187" i="12" s="1"/>
  <c r="P194" i="12" s="1"/>
  <c r="P186" i="12"/>
  <c r="P193" i="12" s="1"/>
  <c r="P201" i="12" s="1"/>
  <c r="O164" i="12"/>
  <c r="O166" i="12" s="1"/>
  <c r="Q86" i="12"/>
  <c r="Q91" i="12" s="1"/>
  <c r="Q79" i="12"/>
  <c r="Q80" i="12" s="1"/>
  <c r="Q133" i="12"/>
  <c r="Q145" i="12"/>
  <c r="Q128" i="12"/>
  <c r="Q130" i="12" s="1"/>
  <c r="P156" i="12"/>
  <c r="Q27" i="12"/>
  <c r="Q39" i="12" s="1"/>
  <c r="Q22" i="12"/>
  <c r="Q24" i="12" s="1"/>
  <c r="P116" i="24" l="1"/>
  <c r="P164" i="24" s="1"/>
  <c r="P116" i="22"/>
  <c r="P164" i="22" s="1"/>
  <c r="Q92" i="21"/>
  <c r="Q93" i="21" s="1"/>
  <c r="R85" i="21"/>
  <c r="Q102" i="21"/>
  <c r="Q103" i="21" s="1"/>
  <c r="Q39" i="23"/>
  <c r="Q40" i="23"/>
  <c r="Q35" i="23"/>
  <c r="Q28" i="23"/>
  <c r="Q29" i="23" s="1"/>
  <c r="Q146" i="21"/>
  <c r="Q134" i="21"/>
  <c r="Q135" i="21" s="1"/>
  <c r="Q141" i="21"/>
  <c r="P116" i="23"/>
  <c r="Q39" i="24"/>
  <c r="Q28" i="21"/>
  <c r="Q29" i="21" s="1"/>
  <c r="Q35" i="21"/>
  <c r="Q40" i="21"/>
  <c r="Q146" i="22"/>
  <c r="Q141" i="22"/>
  <c r="Q134" i="22"/>
  <c r="Q135" i="22" s="1"/>
  <c r="Q40" i="24"/>
  <c r="Q35" i="24"/>
  <c r="Q28" i="24"/>
  <c r="Q29" i="24" s="1"/>
  <c r="P184" i="23"/>
  <c r="P191" i="23" s="1"/>
  <c r="P204" i="23" s="1"/>
  <c r="P206" i="23" s="1"/>
  <c r="P159" i="23"/>
  <c r="P161" i="23" s="1"/>
  <c r="P163" i="23" s="1"/>
  <c r="Q39" i="21"/>
  <c r="P116" i="21"/>
  <c r="P184" i="22"/>
  <c r="P191" i="22" s="1"/>
  <c r="P204" i="22" s="1"/>
  <c r="P206" i="22" s="1"/>
  <c r="P159" i="22"/>
  <c r="P161" i="22" s="1"/>
  <c r="P163" i="22" s="1"/>
  <c r="Q146" i="24"/>
  <c r="Q141" i="24"/>
  <c r="Q134" i="24"/>
  <c r="Q135" i="24" s="1"/>
  <c r="Q185" i="21"/>
  <c r="Q192" i="21" s="1"/>
  <c r="Q197" i="21" s="1"/>
  <c r="Q185" i="23"/>
  <c r="Q192" i="23" s="1"/>
  <c r="Q197" i="23" s="1"/>
  <c r="P184" i="24"/>
  <c r="P191" i="24" s="1"/>
  <c r="P204" i="24" s="1"/>
  <c r="P206" i="24" s="1"/>
  <c r="P159" i="24"/>
  <c r="P161" i="24" s="1"/>
  <c r="P163" i="24" s="1"/>
  <c r="Q35" i="22"/>
  <c r="Q40" i="22"/>
  <c r="Q28" i="22"/>
  <c r="Q29" i="22" s="1"/>
  <c r="Q102" i="24"/>
  <c r="Q103" i="24" s="1"/>
  <c r="Q92" i="24"/>
  <c r="Q93" i="24" s="1"/>
  <c r="R85" i="24"/>
  <c r="Q102" i="23"/>
  <c r="Q103" i="23" s="1"/>
  <c r="R85" i="23"/>
  <c r="Q92" i="23"/>
  <c r="Q93" i="23" s="1"/>
  <c r="R85" i="22"/>
  <c r="Q102" i="22"/>
  <c r="Q103" i="22" s="1"/>
  <c r="Q92" i="22"/>
  <c r="Q93" i="22" s="1"/>
  <c r="P159" i="21"/>
  <c r="P161" i="21" s="1"/>
  <c r="P163" i="21" s="1"/>
  <c r="P184" i="21"/>
  <c r="P191" i="21" s="1"/>
  <c r="P204" i="21" s="1"/>
  <c r="P206" i="21" s="1"/>
  <c r="Q146" i="23"/>
  <c r="Q141" i="23"/>
  <c r="Q134" i="23"/>
  <c r="Q135" i="23" s="1"/>
  <c r="Q185" i="24"/>
  <c r="Q192" i="24" s="1"/>
  <c r="Q197" i="24" s="1"/>
  <c r="Q185" i="22"/>
  <c r="Q192" i="22" s="1"/>
  <c r="Q197" i="22" s="1"/>
  <c r="P52" i="12"/>
  <c r="P53" i="12" s="1"/>
  <c r="P61" i="12" s="1"/>
  <c r="P160" i="12"/>
  <c r="P115" i="12"/>
  <c r="P205" i="12"/>
  <c r="P157" i="12"/>
  <c r="P190" i="12"/>
  <c r="P200" i="12" s="1"/>
  <c r="O165" i="12"/>
  <c r="Q87" i="12"/>
  <c r="Q88" i="12" s="1"/>
  <c r="Q106" i="12"/>
  <c r="Q185" i="12" s="1"/>
  <c r="Q192" i="12" s="1"/>
  <c r="Q197" i="12" s="1"/>
  <c r="Q141" i="12"/>
  <c r="Q134" i="12"/>
  <c r="Q135" i="12" s="1"/>
  <c r="Q182" i="12" s="1"/>
  <c r="Q146" i="12"/>
  <c r="Q35" i="12"/>
  <c r="Q28" i="12"/>
  <c r="Q29" i="12" s="1"/>
  <c r="Q40" i="12"/>
  <c r="Q182" i="23" l="1"/>
  <c r="Q189" i="23" s="1"/>
  <c r="Q196" i="23" s="1"/>
  <c r="Q198" i="23" s="1"/>
  <c r="Q214" i="23" s="1"/>
  <c r="Q216" i="23" s="1"/>
  <c r="Q24" i="20" s="1"/>
  <c r="Q142" i="23"/>
  <c r="Q143" i="23" s="1"/>
  <c r="Q155" i="23"/>
  <c r="P166" i="22"/>
  <c r="P165" i="22"/>
  <c r="Q182" i="21"/>
  <c r="Q189" i="21" s="1"/>
  <c r="Q196" i="21" s="1"/>
  <c r="Q198" i="21" s="1"/>
  <c r="Q214" i="21" s="1"/>
  <c r="Q216" i="21" s="1"/>
  <c r="Q9" i="20" s="1"/>
  <c r="Q142" i="21"/>
  <c r="Q143" i="21" s="1"/>
  <c r="Q155" i="21"/>
  <c r="Q51" i="24"/>
  <c r="Q36" i="24"/>
  <c r="Q37" i="24" s="1"/>
  <c r="Q170" i="21"/>
  <c r="Q173" i="21" s="1"/>
  <c r="Q98" i="21"/>
  <c r="Q99" i="21" s="1"/>
  <c r="Q107" i="21" s="1"/>
  <c r="Q142" i="22"/>
  <c r="Q143" i="22" s="1"/>
  <c r="Q182" i="22"/>
  <c r="Q189" i="22" s="1"/>
  <c r="Q196" i="22" s="1"/>
  <c r="Q198" i="22" s="1"/>
  <c r="Q214" i="22" s="1"/>
  <c r="Q216" i="22" s="1"/>
  <c r="Q19" i="20" s="1"/>
  <c r="Q155" i="22"/>
  <c r="R78" i="22"/>
  <c r="R90" i="22"/>
  <c r="R73" i="22"/>
  <c r="R75" i="22" s="1"/>
  <c r="Q36" i="22"/>
  <c r="Q37" i="22" s="1"/>
  <c r="Q51" i="22"/>
  <c r="Q170" i="23"/>
  <c r="Q173" i="23" s="1"/>
  <c r="Q98" i="23"/>
  <c r="Q99" i="23" s="1"/>
  <c r="Q107" i="23" s="1"/>
  <c r="Q36" i="23"/>
  <c r="Q37" i="23" s="1"/>
  <c r="Q51" i="23"/>
  <c r="R90" i="23"/>
  <c r="R78" i="23"/>
  <c r="R73" i="23"/>
  <c r="R75" i="23" s="1"/>
  <c r="P164" i="21"/>
  <c r="P166" i="21" s="1"/>
  <c r="Q182" i="24"/>
  <c r="Q189" i="24" s="1"/>
  <c r="Q196" i="24" s="1"/>
  <c r="Q198" i="24" s="1"/>
  <c r="Q214" i="24" s="1"/>
  <c r="Q216" i="24" s="1"/>
  <c r="Q29" i="20" s="1"/>
  <c r="Q142" i="24"/>
  <c r="Q143" i="24" s="1"/>
  <c r="Q155" i="24"/>
  <c r="Q51" i="21"/>
  <c r="Q36" i="21"/>
  <c r="Q37" i="21" s="1"/>
  <c r="P165" i="24"/>
  <c r="P166" i="24"/>
  <c r="R73" i="24"/>
  <c r="R75" i="24" s="1"/>
  <c r="R78" i="24"/>
  <c r="R90" i="24"/>
  <c r="Q170" i="24"/>
  <c r="Q173" i="24" s="1"/>
  <c r="Q98" i="24"/>
  <c r="Q99" i="24" s="1"/>
  <c r="Q107" i="24" s="1"/>
  <c r="P164" i="23"/>
  <c r="P165" i="23" s="1"/>
  <c r="R90" i="21"/>
  <c r="R78" i="21"/>
  <c r="R73" i="21"/>
  <c r="R75" i="21" s="1"/>
  <c r="Q98" i="22"/>
  <c r="Q99" i="22" s="1"/>
  <c r="Q107" i="22" s="1"/>
  <c r="Q170" i="22"/>
  <c r="Q173" i="22" s="1"/>
  <c r="P159" i="12"/>
  <c r="P161" i="12" s="1"/>
  <c r="P163" i="12" s="1"/>
  <c r="P184" i="12"/>
  <c r="P191" i="12" s="1"/>
  <c r="Q102" i="12"/>
  <c r="Q103" i="12" s="1"/>
  <c r="R85" i="12"/>
  <c r="Q92" i="12"/>
  <c r="Q155" i="12"/>
  <c r="Q189" i="12" s="1"/>
  <c r="Q196"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47" i="21"/>
  <c r="Q148" i="21" s="1"/>
  <c r="Q152" i="21" s="1"/>
  <c r="Q153" i="21" s="1"/>
  <c r="R140" i="21"/>
  <c r="Q186" i="23"/>
  <c r="Q193" i="23" s="1"/>
  <c r="Q201" i="23" s="1"/>
  <c r="Q108" i="23"/>
  <c r="R79" i="22"/>
  <c r="R80" i="22" s="1"/>
  <c r="R86" i="22"/>
  <c r="Q186" i="21"/>
  <c r="Q193" i="21" s="1"/>
  <c r="Q201" i="21" s="1"/>
  <c r="Q108" i="21"/>
  <c r="Q186" i="22"/>
  <c r="Q193" i="22" s="1"/>
  <c r="Q201" i="22" s="1"/>
  <c r="Q108" i="22"/>
  <c r="Q41" i="21"/>
  <c r="Q42" i="21" s="1"/>
  <c r="R34" i="21"/>
  <c r="R79" i="23"/>
  <c r="R80" i="23" s="1"/>
  <c r="R86" i="23"/>
  <c r="R91" i="23" s="1"/>
  <c r="P166" i="23"/>
  <c r="R140" i="23"/>
  <c r="Q147" i="23"/>
  <c r="Q148" i="23" s="1"/>
  <c r="Q152" i="23" s="1"/>
  <c r="Q153" i="23" s="1"/>
  <c r="Q186" i="24"/>
  <c r="Q193" i="24" s="1"/>
  <c r="Q201" i="24" s="1"/>
  <c r="Q108" i="24"/>
  <c r="R86" i="21"/>
  <c r="R91" i="21" s="1"/>
  <c r="R79" i="21"/>
  <c r="R80" i="21" s="1"/>
  <c r="R86" i="24"/>
  <c r="R79" i="24"/>
  <c r="R80" i="24" s="1"/>
  <c r="P165" i="21"/>
  <c r="Q93" i="12"/>
  <c r="Q170" i="12" s="1"/>
  <c r="Q173" i="12" s="1"/>
  <c r="P198" i="12"/>
  <c r="P202" i="12"/>
  <c r="P204" i="12"/>
  <c r="P206" i="12" s="1"/>
  <c r="P114" i="12"/>
  <c r="P116" i="12" s="1"/>
  <c r="R78" i="12"/>
  <c r="R73" i="12"/>
  <c r="R75" i="12" s="1"/>
  <c r="R90" i="12"/>
  <c r="R140" i="12"/>
  <c r="Q147" i="12"/>
  <c r="Q148" i="12" s="1"/>
  <c r="Q152" i="12" s="1"/>
  <c r="Q153" i="12" s="1"/>
  <c r="Q183" i="12" s="1"/>
  <c r="Q41" i="12"/>
  <c r="Q42" i="12" s="1"/>
  <c r="R34" i="12"/>
  <c r="Q115" i="23" l="1"/>
  <c r="Q187" i="23"/>
  <c r="Q194" i="23" s="1"/>
  <c r="Q205" i="23" s="1"/>
  <c r="Q160" i="23"/>
  <c r="R27" i="23"/>
  <c r="R39" i="23" s="1"/>
  <c r="R22" i="23"/>
  <c r="R24" i="23" s="1"/>
  <c r="Q183" i="23"/>
  <c r="Q190" i="23" s="1"/>
  <c r="Q200" i="23" s="1"/>
  <c r="Q202" i="23" s="1"/>
  <c r="Q219" i="23" s="1"/>
  <c r="Q221" i="23" s="1"/>
  <c r="Q25" i="20" s="1"/>
  <c r="Q156" i="23"/>
  <c r="Q157" i="23" s="1"/>
  <c r="Q47" i="23"/>
  <c r="Q48" i="23" s="1"/>
  <c r="Q52" i="23" s="1"/>
  <c r="Q53" i="23" s="1"/>
  <c r="Q61" i="23" s="1"/>
  <c r="Q114" i="23" s="1"/>
  <c r="Q169" i="23"/>
  <c r="Q172" i="23" s="1"/>
  <c r="Q174" i="23" s="1"/>
  <c r="Q176" i="23" s="1"/>
  <c r="Q178" i="23" s="1"/>
  <c r="Q23" i="20" s="1"/>
  <c r="R91" i="24"/>
  <c r="R145" i="23"/>
  <c r="R128" i="23"/>
  <c r="R130" i="23" s="1"/>
  <c r="R133" i="23"/>
  <c r="Q187" i="22"/>
  <c r="Q194" i="22" s="1"/>
  <c r="Q205" i="22" s="1"/>
  <c r="Q115" i="22"/>
  <c r="Q160" i="22"/>
  <c r="Q183" i="24"/>
  <c r="Q190" i="24" s="1"/>
  <c r="Q200" i="24" s="1"/>
  <c r="Q202" i="24" s="1"/>
  <c r="Q219" i="24" s="1"/>
  <c r="Q221" i="24" s="1"/>
  <c r="Q30" i="20" s="1"/>
  <c r="Q156" i="24"/>
  <c r="Q157" i="24" s="1"/>
  <c r="R145" i="24"/>
  <c r="R133" i="24"/>
  <c r="R128" i="24"/>
  <c r="R130" i="24" s="1"/>
  <c r="R106" i="23"/>
  <c r="R87" i="23"/>
  <c r="R88" i="23" s="1"/>
  <c r="Q187" i="21"/>
  <c r="Q194" i="21" s="1"/>
  <c r="Q205" i="21" s="1"/>
  <c r="Q115" i="21"/>
  <c r="Q160" i="21"/>
  <c r="R145" i="21"/>
  <c r="R133" i="21"/>
  <c r="R128" i="21"/>
  <c r="R130" i="21" s="1"/>
  <c r="Q169" i="24"/>
  <c r="Q172" i="24" s="1"/>
  <c r="Q174" i="24" s="1"/>
  <c r="Q176" i="24" s="1"/>
  <c r="Q178" i="24" s="1"/>
  <c r="Q28" i="20" s="1"/>
  <c r="Q47" i="24"/>
  <c r="Q48" i="24" s="1"/>
  <c r="Q52" i="24" s="1"/>
  <c r="Q53" i="24" s="1"/>
  <c r="Q61" i="24" s="1"/>
  <c r="Q114" i="24" s="1"/>
  <c r="R87" i="21"/>
  <c r="R88" i="21" s="1"/>
  <c r="R106" i="21"/>
  <c r="Q183" i="21"/>
  <c r="Q190" i="21" s="1"/>
  <c r="Q200" i="21" s="1"/>
  <c r="Q202" i="21" s="1"/>
  <c r="Q219" i="21" s="1"/>
  <c r="Q221" i="21" s="1"/>
  <c r="Q10" i="20" s="1"/>
  <c r="Q156" i="21"/>
  <c r="Q157" i="21" s="1"/>
  <c r="R27" i="24"/>
  <c r="R39" i="24" s="1"/>
  <c r="R22" i="24"/>
  <c r="R24" i="24" s="1"/>
  <c r="R106" i="24"/>
  <c r="R87" i="24"/>
  <c r="R88" i="24" s="1"/>
  <c r="R27" i="21"/>
  <c r="R22" i="21"/>
  <c r="R24" i="21" s="1"/>
  <c r="R91" i="22"/>
  <c r="Q169" i="22"/>
  <c r="Q172" i="22" s="1"/>
  <c r="Q174" i="22" s="1"/>
  <c r="Q176" i="22" s="1"/>
  <c r="Q178" i="22" s="1"/>
  <c r="Q18" i="20" s="1"/>
  <c r="Q47" i="22"/>
  <c r="Q48" i="22" s="1"/>
  <c r="Q52" i="22" s="1"/>
  <c r="Q53" i="22" s="1"/>
  <c r="Q61" i="22" s="1"/>
  <c r="Q114" i="22" s="1"/>
  <c r="Q183" i="22"/>
  <c r="Q190" i="22" s="1"/>
  <c r="Q200" i="22" s="1"/>
  <c r="Q202" i="22" s="1"/>
  <c r="Q219" i="22" s="1"/>
  <c r="Q221" i="22" s="1"/>
  <c r="Q20" i="20" s="1"/>
  <c r="Q156" i="22"/>
  <c r="Q157" i="22" s="1"/>
  <c r="Q115" i="24"/>
  <c r="Q160" i="24"/>
  <c r="Q187" i="24"/>
  <c r="Q194" i="24" s="1"/>
  <c r="Q205" i="24" s="1"/>
  <c r="Q169" i="21"/>
  <c r="Q172" i="21" s="1"/>
  <c r="Q174" i="21" s="1"/>
  <c r="Q176" i="21" s="1"/>
  <c r="Q178" i="21" s="1"/>
  <c r="Q8" i="20" s="1"/>
  <c r="Q47" i="21"/>
  <c r="Q48" i="21" s="1"/>
  <c r="Q52" i="21" s="1"/>
  <c r="Q53" i="21" s="1"/>
  <c r="Q61" i="21" s="1"/>
  <c r="Q114" i="21" s="1"/>
  <c r="R106" i="22"/>
  <c r="R87" i="22"/>
  <c r="R88" i="22" s="1"/>
  <c r="R27" i="22"/>
  <c r="R39" i="22" s="1"/>
  <c r="R22" i="22"/>
  <c r="R24" i="22" s="1"/>
  <c r="R145" i="22"/>
  <c r="R133" i="22"/>
  <c r="R128" i="22"/>
  <c r="R130" i="22" s="1"/>
  <c r="P219" i="12"/>
  <c r="P221" i="12" s="1"/>
  <c r="P15" i="20" s="1"/>
  <c r="P214" i="12"/>
  <c r="P216" i="12" s="1"/>
  <c r="P14" i="20" s="1"/>
  <c r="Q98" i="12"/>
  <c r="Q99" i="12" s="1"/>
  <c r="Q47" i="12"/>
  <c r="Q48" i="12" s="1"/>
  <c r="Q52" i="12" s="1"/>
  <c r="Q53" i="12" s="1"/>
  <c r="Q61" i="12" s="1"/>
  <c r="Q169" i="12"/>
  <c r="Q172" i="12" s="1"/>
  <c r="Q174" i="12" s="1"/>
  <c r="Q176" i="12" s="1"/>
  <c r="Q178" i="12" s="1"/>
  <c r="Q13" i="20" s="1"/>
  <c r="P164" i="12"/>
  <c r="P166" i="12" s="1"/>
  <c r="R86" i="12"/>
  <c r="R91" i="12" s="1"/>
  <c r="R79" i="12"/>
  <c r="R80" i="12" s="1"/>
  <c r="Q156" i="12"/>
  <c r="R145" i="12"/>
  <c r="R133" i="12"/>
  <c r="R128" i="12"/>
  <c r="R130" i="12" s="1"/>
  <c r="R27" i="12"/>
  <c r="R39" i="12" s="1"/>
  <c r="R22" i="12"/>
  <c r="R24" i="12" s="1"/>
  <c r="Q116" i="21" l="1"/>
  <c r="Q164" i="21" s="1"/>
  <c r="R102" i="24"/>
  <c r="R103" i="24" s="1"/>
  <c r="R92" i="24"/>
  <c r="R93" i="24" s="1"/>
  <c r="R102" i="22"/>
  <c r="R103" i="22" s="1"/>
  <c r="R92" i="22"/>
  <c r="R93" i="22" s="1"/>
  <c r="Q184" i="24"/>
  <c r="Q191" i="24" s="1"/>
  <c r="Q204" i="24" s="1"/>
  <c r="Q206" i="24" s="1"/>
  <c r="Q159" i="24"/>
  <c r="Q161" i="24" s="1"/>
  <c r="Q163" i="24" s="1"/>
  <c r="R40" i="23"/>
  <c r="R35" i="23"/>
  <c r="R28" i="23"/>
  <c r="R29" i="23" s="1"/>
  <c r="R185" i="23"/>
  <c r="R192" i="23" s="1"/>
  <c r="R92" i="21"/>
  <c r="R93" i="21" s="1"/>
  <c r="R102" i="21"/>
  <c r="R103" i="21" s="1"/>
  <c r="R185" i="24"/>
  <c r="R192" i="24" s="1"/>
  <c r="Q184" i="21"/>
  <c r="Q191" i="21" s="1"/>
  <c r="Q204" i="21" s="1"/>
  <c r="Q206" i="21" s="1"/>
  <c r="Q159" i="21"/>
  <c r="R146" i="21"/>
  <c r="R141" i="21"/>
  <c r="R134" i="21"/>
  <c r="R135" i="21" s="1"/>
  <c r="Q116" i="22"/>
  <c r="R134" i="23"/>
  <c r="R135" i="23" s="1"/>
  <c r="R146" i="23"/>
  <c r="R141" i="23"/>
  <c r="R146" i="22"/>
  <c r="R141" i="22"/>
  <c r="R134" i="22"/>
  <c r="R135" i="22" s="1"/>
  <c r="R146" i="24"/>
  <c r="R134" i="24"/>
  <c r="R135" i="24" s="1"/>
  <c r="R141" i="24"/>
  <c r="R35" i="24"/>
  <c r="R40" i="24"/>
  <c r="R28" i="24"/>
  <c r="R29" i="24" s="1"/>
  <c r="R40" i="22"/>
  <c r="R28" i="22"/>
  <c r="R29" i="22" s="1"/>
  <c r="R35" i="22"/>
  <c r="Q116" i="24"/>
  <c r="R35" i="21"/>
  <c r="R28" i="21"/>
  <c r="R29" i="21" s="1"/>
  <c r="R40" i="21"/>
  <c r="Q116" i="23"/>
  <c r="R185" i="22"/>
  <c r="R192" i="22" s="1"/>
  <c r="R102" i="23"/>
  <c r="R103" i="23" s="1"/>
  <c r="R92" i="23"/>
  <c r="R93" i="23" s="1"/>
  <c r="Q159" i="22"/>
  <c r="Q161" i="22" s="1"/>
  <c r="Q163" i="22" s="1"/>
  <c r="Q184" i="22"/>
  <c r="Q191" i="22" s="1"/>
  <c r="Q204" i="22" s="1"/>
  <c r="Q206" i="22" s="1"/>
  <c r="R39" i="21"/>
  <c r="R185" i="21"/>
  <c r="R192" i="21" s="1"/>
  <c r="Q161" i="21"/>
  <c r="Q163" i="21" s="1"/>
  <c r="Q184" i="23"/>
  <c r="Q191" i="23" s="1"/>
  <c r="Q204" i="23" s="1"/>
  <c r="Q206" i="23" s="1"/>
  <c r="Q159" i="23"/>
  <c r="Q161" i="23" s="1"/>
  <c r="Q163" i="23" s="1"/>
  <c r="Q107" i="12"/>
  <c r="Q157" i="12"/>
  <c r="Q190" i="12"/>
  <c r="Q200" i="12" s="1"/>
  <c r="P165" i="12"/>
  <c r="R106" i="12"/>
  <c r="R185" i="12" s="1"/>
  <c r="R192" i="12" s="1"/>
  <c r="R87" i="12"/>
  <c r="R88" i="12" s="1"/>
  <c r="R141" i="12"/>
  <c r="R146" i="12"/>
  <c r="R134" i="12"/>
  <c r="R135" i="12" s="1"/>
  <c r="R182" i="12" s="1"/>
  <c r="R35" i="12"/>
  <c r="R40" i="12"/>
  <c r="R28" i="12"/>
  <c r="R29" i="12" s="1"/>
  <c r="H116" i="21" l="1"/>
  <c r="H164" i="21" s="1"/>
  <c r="Q166" i="21"/>
  <c r="R36" i="21"/>
  <c r="R37" i="21" s="1"/>
  <c r="R41" i="21" s="1"/>
  <c r="R42" i="21" s="1"/>
  <c r="R51" i="21"/>
  <c r="R170" i="21"/>
  <c r="R173" i="21" s="1"/>
  <c r="R98" i="21"/>
  <c r="R99" i="21" s="1"/>
  <c r="R107" i="21" s="1"/>
  <c r="Q165" i="21"/>
  <c r="R155" i="23"/>
  <c r="R182" i="23"/>
  <c r="R189" i="23" s="1"/>
  <c r="R142" i="23"/>
  <c r="R143" i="23" s="1"/>
  <c r="R147" i="23" s="1"/>
  <c r="R148" i="23" s="1"/>
  <c r="R152" i="23" s="1"/>
  <c r="R153" i="23" s="1"/>
  <c r="R98" i="23"/>
  <c r="R99" i="23" s="1"/>
  <c r="R107" i="23" s="1"/>
  <c r="R170" i="23"/>
  <c r="R173" i="23" s="1"/>
  <c r="Q164" i="24"/>
  <c r="Q165" i="24" s="1"/>
  <c r="H116" i="24"/>
  <c r="H164" i="24" s="1"/>
  <c r="R197" i="23"/>
  <c r="H192" i="23"/>
  <c r="H197" i="23" s="1"/>
  <c r="R36" i="23"/>
  <c r="R37" i="23" s="1"/>
  <c r="R41" i="23" s="1"/>
  <c r="R42" i="23" s="1"/>
  <c r="R51" i="23"/>
  <c r="R170" i="22"/>
  <c r="R173" i="22" s="1"/>
  <c r="R98" i="22"/>
  <c r="R99" i="22" s="1"/>
  <c r="R107" i="22" s="1"/>
  <c r="R197" i="21"/>
  <c r="H192" i="21"/>
  <c r="H197" i="21" s="1"/>
  <c r="R36" i="22"/>
  <c r="R37" i="22" s="1"/>
  <c r="R41" i="22" s="1"/>
  <c r="R42" i="22" s="1"/>
  <c r="R51" i="22"/>
  <c r="R155" i="24"/>
  <c r="R182" i="24"/>
  <c r="R189" i="24" s="1"/>
  <c r="R142" i="24"/>
  <c r="R143" i="24" s="1"/>
  <c r="R147" i="24" s="1"/>
  <c r="R148" i="24" s="1"/>
  <c r="R152" i="24" s="1"/>
  <c r="R153" i="24" s="1"/>
  <c r="R197" i="22"/>
  <c r="H192" i="22"/>
  <c r="H197" i="22" s="1"/>
  <c r="Q164" i="22"/>
  <c r="Q166" i="22" s="1"/>
  <c r="H116" i="22"/>
  <c r="H164" i="22" s="1"/>
  <c r="R197" i="24"/>
  <c r="H192" i="24"/>
  <c r="H197" i="24" s="1"/>
  <c r="R170" i="24"/>
  <c r="R173" i="24" s="1"/>
  <c r="R98" i="24"/>
  <c r="R99" i="24" s="1"/>
  <c r="R107" i="24" s="1"/>
  <c r="Q164" i="23"/>
  <c r="Q165" i="23" s="1"/>
  <c r="H116" i="23"/>
  <c r="H164" i="23"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86" i="12"/>
  <c r="Q193" i="12" s="1"/>
  <c r="Q201" i="12" s="1"/>
  <c r="Q108" i="12"/>
  <c r="H192" i="12"/>
  <c r="H197" i="12" s="1"/>
  <c r="R197" i="12"/>
  <c r="Q159" i="12"/>
  <c r="Q184" i="12"/>
  <c r="Q191" i="12" s="1"/>
  <c r="R92" i="12"/>
  <c r="R93" i="12" s="1"/>
  <c r="R102" i="12"/>
  <c r="R103" i="12" s="1"/>
  <c r="R155" i="12"/>
  <c r="R189" i="12" s="1"/>
  <c r="R142" i="12"/>
  <c r="R143" i="12" s="1"/>
  <c r="R51" i="12"/>
  <c r="R36" i="12"/>
  <c r="R37" i="12" s="1"/>
  <c r="Q166" i="24" l="1"/>
  <c r="R156" i="21"/>
  <c r="R157" i="21" s="1"/>
  <c r="R183" i="21"/>
  <c r="R190" i="21" s="1"/>
  <c r="R156" i="22"/>
  <c r="R157" i="22" s="1"/>
  <c r="R183" i="22"/>
  <c r="R190" i="22" s="1"/>
  <c r="R169" i="23"/>
  <c r="R172" i="23" s="1"/>
  <c r="R174" i="23" s="1"/>
  <c r="R176" i="23" s="1"/>
  <c r="R178" i="23" s="1"/>
  <c r="R23" i="20" s="1"/>
  <c r="R47" i="23"/>
  <c r="R48" i="23" s="1"/>
  <c r="R52" i="23" s="1"/>
  <c r="R53" i="23" s="1"/>
  <c r="R196" i="24"/>
  <c r="R198" i="24" s="1"/>
  <c r="H189" i="24"/>
  <c r="H196" i="24" s="1"/>
  <c r="R186" i="21"/>
  <c r="R193" i="21" s="1"/>
  <c r="R108" i="21"/>
  <c r="R186" i="23"/>
  <c r="R193" i="23" s="1"/>
  <c r="R108" i="23"/>
  <c r="R156" i="23"/>
  <c r="R157" i="23" s="1"/>
  <c r="R183" i="23"/>
  <c r="R190" i="23" s="1"/>
  <c r="R156" i="24"/>
  <c r="R157" i="24" s="1"/>
  <c r="R183" i="24"/>
  <c r="R190" i="24" s="1"/>
  <c r="R169" i="21"/>
  <c r="R172" i="21" s="1"/>
  <c r="R174" i="21" s="1"/>
  <c r="R176" i="21" s="1"/>
  <c r="R178" i="21" s="1"/>
  <c r="R8" i="20" s="1"/>
  <c r="R47" i="21"/>
  <c r="R48" i="21" s="1"/>
  <c r="R52" i="21" s="1"/>
  <c r="R53" i="21" s="1"/>
  <c r="Q165" i="22"/>
  <c r="R196" i="23"/>
  <c r="R198" i="23" s="1"/>
  <c r="H189" i="23"/>
  <c r="H196" i="23" s="1"/>
  <c r="R169" i="22"/>
  <c r="R172" i="22" s="1"/>
  <c r="R174" i="22" s="1"/>
  <c r="R176" i="22" s="1"/>
  <c r="R178" i="22" s="1"/>
  <c r="R18" i="20" s="1"/>
  <c r="R47" i="22"/>
  <c r="R48" i="22" s="1"/>
  <c r="R52" i="22" s="1"/>
  <c r="R53" i="22" s="1"/>
  <c r="R186" i="24"/>
  <c r="R193" i="24" s="1"/>
  <c r="R108" i="24"/>
  <c r="R169" i="24"/>
  <c r="R172" i="24" s="1"/>
  <c r="R174" i="24" s="1"/>
  <c r="R176" i="24" s="1"/>
  <c r="R178" i="24" s="1"/>
  <c r="R28" i="20" s="1"/>
  <c r="R47" i="24"/>
  <c r="R48" i="24" s="1"/>
  <c r="R52" i="24" s="1"/>
  <c r="R53" i="24" s="1"/>
  <c r="R196" i="21"/>
  <c r="R198" i="21" s="1"/>
  <c r="H189" i="21"/>
  <c r="H196" i="21" s="1"/>
  <c r="R196" i="22"/>
  <c r="R198" i="22" s="1"/>
  <c r="H189" i="22"/>
  <c r="H196" i="22" s="1"/>
  <c r="R186" i="22"/>
  <c r="R193" i="22" s="1"/>
  <c r="R108" i="22"/>
  <c r="Q166" i="23"/>
  <c r="Q187" i="12"/>
  <c r="Q194" i="12" s="1"/>
  <c r="Q205" i="12" s="1"/>
  <c r="Q160" i="12"/>
  <c r="Q161" i="12" s="1"/>
  <c r="Q115" i="12"/>
  <c r="R98" i="12"/>
  <c r="R99" i="12" s="1"/>
  <c r="R107" i="12" s="1"/>
  <c r="R108" i="12" s="1"/>
  <c r="R187" i="12" s="1"/>
  <c r="R194" i="12" s="1"/>
  <c r="R170" i="12"/>
  <c r="R173" i="12" s="1"/>
  <c r="H189" i="12"/>
  <c r="H196" i="12" s="1"/>
  <c r="R196" i="12"/>
  <c r="Q198" i="12"/>
  <c r="Q202" i="12"/>
  <c r="Q204" i="12"/>
  <c r="Q114" i="12"/>
  <c r="R147" i="12"/>
  <c r="R148" i="12" s="1"/>
  <c r="R152" i="12" s="1"/>
  <c r="R153" i="12" s="1"/>
  <c r="R41" i="12"/>
  <c r="R42" i="12" s="1"/>
  <c r="R214" i="21" l="1"/>
  <c r="R216" i="21" s="1"/>
  <c r="H198" i="21"/>
  <c r="H214" i="21" s="1"/>
  <c r="R214" i="23"/>
  <c r="R216" i="23" s="1"/>
  <c r="H198" i="23"/>
  <c r="H214" i="23" s="1"/>
  <c r="R61" i="21"/>
  <c r="R114" i="21" s="1"/>
  <c r="H53" i="21"/>
  <c r="R184" i="24"/>
  <c r="R191" i="24" s="1"/>
  <c r="R159" i="24"/>
  <c r="H157" i="24"/>
  <c r="R201" i="23"/>
  <c r="H193" i="23"/>
  <c r="H201" i="23" s="1"/>
  <c r="R61" i="23"/>
  <c r="R114" i="23" s="1"/>
  <c r="H53" i="23"/>
  <c r="R61" i="24"/>
  <c r="R114" i="24" s="1"/>
  <c r="H53" i="24"/>
  <c r="R200" i="24"/>
  <c r="H190" i="24"/>
  <c r="H200" i="24" s="1"/>
  <c r="R201" i="22"/>
  <c r="H193" i="22"/>
  <c r="H201" i="22" s="1"/>
  <c r="R184" i="23"/>
  <c r="R191" i="23" s="1"/>
  <c r="R159" i="23"/>
  <c r="H157" i="23"/>
  <c r="R200" i="23"/>
  <c r="H190" i="23"/>
  <c r="H200" i="23" s="1"/>
  <c r="R160" i="21"/>
  <c r="R187" i="21"/>
  <c r="R194" i="21" s="1"/>
  <c r="R115" i="21"/>
  <c r="H108" i="21"/>
  <c r="R200" i="22"/>
  <c r="H190" i="22"/>
  <c r="H200" i="22" s="1"/>
  <c r="R214" i="24"/>
  <c r="R216" i="24" s="1"/>
  <c r="H198" i="24"/>
  <c r="H214" i="24" s="1"/>
  <c r="R160" i="24"/>
  <c r="R187" i="24"/>
  <c r="R194" i="24" s="1"/>
  <c r="R115" i="24"/>
  <c r="H108" i="24"/>
  <c r="R201" i="21"/>
  <c r="H193" i="21"/>
  <c r="H201" i="21" s="1"/>
  <c r="R159" i="22"/>
  <c r="R184" i="22"/>
  <c r="R191" i="22" s="1"/>
  <c r="H157" i="22"/>
  <c r="R201" i="24"/>
  <c r="H193" i="24"/>
  <c r="H201" i="24" s="1"/>
  <c r="R214" i="22"/>
  <c r="R216" i="22" s="1"/>
  <c r="H198" i="22"/>
  <c r="H214" i="22" s="1"/>
  <c r="R200" i="21"/>
  <c r="H190" i="21"/>
  <c r="H200" i="21" s="1"/>
  <c r="R160" i="22"/>
  <c r="R187" i="22"/>
  <c r="R194" i="22" s="1"/>
  <c r="R115" i="22"/>
  <c r="H108" i="22"/>
  <c r="R61" i="22"/>
  <c r="R114" i="22" s="1"/>
  <c r="H53" i="22"/>
  <c r="R187" i="23"/>
  <c r="R194" i="23" s="1"/>
  <c r="R115" i="23"/>
  <c r="R160" i="23"/>
  <c r="H108" i="23"/>
  <c r="R184" i="21"/>
  <c r="R191" i="21" s="1"/>
  <c r="R159" i="21"/>
  <c r="H157" i="21"/>
  <c r="Q219" i="12"/>
  <c r="Q221" i="12" s="1"/>
  <c r="Q15" i="20" s="1"/>
  <c r="Q214" i="12"/>
  <c r="Q216" i="12" s="1"/>
  <c r="Q14" i="20" s="1"/>
  <c r="R156" i="12"/>
  <c r="R157" i="12" s="1"/>
  <c r="R183" i="12"/>
  <c r="R190" i="12" s="1"/>
  <c r="Q206" i="12"/>
  <c r="Q163" i="12"/>
  <c r="R186" i="12"/>
  <c r="R193" i="12" s="1"/>
  <c r="H193" i="12" s="1"/>
  <c r="H201" i="12" s="1"/>
  <c r="Q116" i="12"/>
  <c r="Q164" i="12" s="1"/>
  <c r="R47" i="12"/>
  <c r="R48" i="12" s="1"/>
  <c r="R52" i="12" s="1"/>
  <c r="R53" i="12" s="1"/>
  <c r="R61" i="12" s="1"/>
  <c r="R169" i="12"/>
  <c r="R172" i="12" s="1"/>
  <c r="R174" i="12" s="1"/>
  <c r="R176" i="12" s="1"/>
  <c r="R178" i="12" s="1"/>
  <c r="R13" i="20" s="1"/>
  <c r="R160" i="12"/>
  <c r="R115" i="12"/>
  <c r="R205" i="12"/>
  <c r="H194" i="12"/>
  <c r="R161" i="23" l="1"/>
  <c r="R163" i="23" s="1"/>
  <c r="R165" i="23" s="1"/>
  <c r="F165" i="23" s="1"/>
  <c r="F17" i="9" s="1"/>
  <c r="R161" i="22"/>
  <c r="R163" i="22" s="1"/>
  <c r="R165" i="22" s="1"/>
  <c r="F165" i="22" s="1"/>
  <c r="F16" i="9" s="1"/>
  <c r="R204" i="22"/>
  <c r="H191" i="22"/>
  <c r="H204" i="22" s="1"/>
  <c r="H216" i="24"/>
  <c r="H29" i="20" s="1"/>
  <c r="R29" i="20"/>
  <c r="R204" i="24"/>
  <c r="H191" i="24"/>
  <c r="H204" i="24" s="1"/>
  <c r="R205" i="23"/>
  <c r="H194" i="23"/>
  <c r="H205" i="23" s="1"/>
  <c r="H159" i="23"/>
  <c r="H184" i="23"/>
  <c r="R202" i="21"/>
  <c r="H184" i="21"/>
  <c r="H159" i="21"/>
  <c r="H187" i="24"/>
  <c r="H115" i="24"/>
  <c r="H160" i="24"/>
  <c r="H160" i="21"/>
  <c r="H187" i="21"/>
  <c r="H115" i="21"/>
  <c r="R204" i="23"/>
  <c r="H191" i="23"/>
  <c r="H204" i="23" s="1"/>
  <c r="H115" i="22"/>
  <c r="H187" i="22"/>
  <c r="H160" i="22"/>
  <c r="H216" i="23"/>
  <c r="H24" i="20" s="1"/>
  <c r="R24" i="20"/>
  <c r="H216" i="22"/>
  <c r="H19" i="20" s="1"/>
  <c r="R19" i="20"/>
  <c r="R204" i="21"/>
  <c r="H191" i="21"/>
  <c r="H204" i="21" s="1"/>
  <c r="R202" i="24"/>
  <c r="R205" i="24"/>
  <c r="H194" i="24"/>
  <c r="H205" i="24" s="1"/>
  <c r="R205" i="21"/>
  <c r="H194" i="21"/>
  <c r="H205" i="21" s="1"/>
  <c r="R202" i="22"/>
  <c r="R202" i="23"/>
  <c r="H187" i="23"/>
  <c r="H160" i="23"/>
  <c r="H115" i="23"/>
  <c r="R205" i="22"/>
  <c r="H194" i="22"/>
  <c r="H205" i="22" s="1"/>
  <c r="H184" i="22"/>
  <c r="H159" i="22"/>
  <c r="R161" i="24"/>
  <c r="R161" i="21"/>
  <c r="H184" i="24"/>
  <c r="H159" i="24"/>
  <c r="H216" i="21"/>
  <c r="H9" i="20" s="1"/>
  <c r="R9" i="20"/>
  <c r="R114" i="12"/>
  <c r="Q166" i="12"/>
  <c r="R201" i="12"/>
  <c r="H116" i="12"/>
  <c r="H164" i="12" s="1"/>
  <c r="H190" i="12"/>
  <c r="H200" i="12" s="1"/>
  <c r="R200" i="12"/>
  <c r="H205" i="12"/>
  <c r="Q165" i="12"/>
  <c r="R159" i="12"/>
  <c r="R161" i="12" s="1"/>
  <c r="H161" i="12" s="1"/>
  <c r="H163" i="12" s="1"/>
  <c r="R184" i="12"/>
  <c r="R191" i="12" s="1"/>
  <c r="H161" i="22" l="1"/>
  <c r="H163" i="22" s="1"/>
  <c r="H161" i="23"/>
  <c r="H163" i="23" s="1"/>
  <c r="R206" i="21"/>
  <c r="H206" i="21" s="1"/>
  <c r="R206" i="22"/>
  <c r="H206" i="22" s="1"/>
  <c r="R206" i="24"/>
  <c r="H206" i="24" s="1"/>
  <c r="R206" i="23"/>
  <c r="H206" i="23" s="1"/>
  <c r="R219" i="22"/>
  <c r="R221" i="22" s="1"/>
  <c r="H202" i="22"/>
  <c r="H219" i="22" s="1"/>
  <c r="R219" i="21"/>
  <c r="R221" i="21" s="1"/>
  <c r="H202" i="21"/>
  <c r="H219" i="21" s="1"/>
  <c r="R219" i="24"/>
  <c r="R221" i="24" s="1"/>
  <c r="H202" i="24"/>
  <c r="H219" i="24" s="1"/>
  <c r="R163" i="21"/>
  <c r="R165" i="21" s="1"/>
  <c r="F165" i="21" s="1"/>
  <c r="F14" i="9" s="1"/>
  <c r="H161" i="21"/>
  <c r="H163" i="21" s="1"/>
  <c r="R163" i="24"/>
  <c r="R165" i="24" s="1"/>
  <c r="F165" i="24" s="1"/>
  <c r="F18" i="9" s="1"/>
  <c r="H161" i="24"/>
  <c r="H163" i="24" s="1"/>
  <c r="R219" i="23"/>
  <c r="R221" i="23" s="1"/>
  <c r="H202" i="23"/>
  <c r="H219" i="23" s="1"/>
  <c r="R163" i="12"/>
  <c r="R198" i="12"/>
  <c r="R202" i="12"/>
  <c r="R204" i="12"/>
  <c r="R206" i="12" s="1"/>
  <c r="H206" i="12" s="1"/>
  <c r="H191" i="12"/>
  <c r="R165" i="12" l="1"/>
  <c r="F165" i="12" s="1"/>
  <c r="F15" i="9" s="1"/>
  <c r="H221" i="23"/>
  <c r="H25" i="20" s="1"/>
  <c r="R25" i="20"/>
  <c r="H221" i="21"/>
  <c r="H10" i="20" s="1"/>
  <c r="R10" i="20"/>
  <c r="H221" i="24"/>
  <c r="H30" i="20" s="1"/>
  <c r="R30" i="20"/>
  <c r="H221" i="22"/>
  <c r="H20" i="20" s="1"/>
  <c r="R20" i="20"/>
  <c r="H202" i="12"/>
  <c r="R219" i="12"/>
  <c r="R221" i="12" s="1"/>
  <c r="R15" i="20" s="1"/>
  <c r="H198" i="12"/>
  <c r="R214" i="12"/>
  <c r="R216" i="12" s="1"/>
  <c r="R14" i="20" s="1"/>
  <c r="H204" i="12"/>
  <c r="H108" i="12"/>
  <c r="H187" i="12" s="1"/>
  <c r="H53" i="12"/>
  <c r="H157" i="12"/>
  <c r="H216" i="12" l="1"/>
  <c r="H14" i="20" s="1"/>
  <c r="H221" i="12"/>
  <c r="H15" i="20" s="1"/>
  <c r="H214" i="12"/>
  <c r="H219" i="12"/>
  <c r="H159" i="12"/>
  <c r="H184" i="12"/>
  <c r="H160" i="12"/>
  <c r="H115" i="12"/>
  <c r="F9" i="9" l="1"/>
  <c r="F2" i="24" s="1"/>
  <c r="F2" i="22" l="1"/>
  <c r="F2" i="23"/>
  <c r="F2" i="20"/>
  <c r="F2" i="21"/>
  <c r="C49" i="17"/>
  <c r="F2" i="9"/>
  <c r="F2" i="7"/>
  <c r="F2" i="16"/>
  <c r="F2" i="12"/>
  <c r="F2" i="8"/>
</calcChain>
</file>

<file path=xl/sharedStrings.xml><?xml version="1.0" encoding="utf-8"?>
<sst xmlns="http://schemas.openxmlformats.org/spreadsheetml/2006/main" count="1053" uniqueCount="435">
  <si>
    <t>Workbook title:</t>
  </si>
  <si>
    <t>RPI-CPIH wedge true up</t>
  </si>
  <si>
    <t>Version:</t>
  </si>
  <si>
    <t>Filename:</t>
  </si>
  <si>
    <t>RPI-CPIH-wedge-true-up-model-Dec-2020-v5.xlsx</t>
  </si>
  <si>
    <t>Date:</t>
  </si>
  <si>
    <t>Author:</t>
  </si>
  <si>
    <t>Ofwat</t>
  </si>
  <si>
    <t>Author contact information:</t>
  </si>
  <si>
    <t>OfwatPandO@ofwat.gov.uk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</si>
  <si>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</si>
  <si>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</si>
  <si>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</si>
  <si>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</si>
  <si>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</si>
  <si>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</si>
  <si>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</si>
  <si>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February 2020 version</t>
  </si>
  <si>
    <t>Calc</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</si>
  <si>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</si>
  <si>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</si>
  <si>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</si>
  <si>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</si>
  <si>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</si>
  <si>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</si>
  <si>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</si>
  <si>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</si>
  <si>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</si>
  <si>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</si>
  <si>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</si>
  <si>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</si>
  <si>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</si>
  <si>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</si>
  <si>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</si>
  <si>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</si>
  <si>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</si>
  <si>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</si>
  <si>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</si>
  <si>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</si>
  <si>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</si>
  <si>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</si>
  <si>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</si>
  <si>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</si>
  <si>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</si>
  <si>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</si>
  <si>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</si>
  <si>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</si>
  <si>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</si>
  <si>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</si>
  <si>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</si>
  <si>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</si>
  <si>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</si>
  <si>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</si>
  <si>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</si>
  <si>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</si>
  <si>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</si>
  <si>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</si>
  <si>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</si>
  <si>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</si>
  <si>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</si>
  <si>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</si>
  <si>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</si>
  <si>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</si>
  <si>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</si>
  <si>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</si>
  <si>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</si>
  <si>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</si>
  <si>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</si>
  <si>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</si>
  <si>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</si>
  <si>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</si>
  <si>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</si>
  <si>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</si>
  <si>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</si>
  <si>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</si>
  <si>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</si>
  <si>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</si>
  <si>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</si>
  <si>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</si>
  <si>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</si>
  <si>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</si>
  <si>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</si>
  <si>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</si>
  <si>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</si>
  <si>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</si>
  <si>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</si>
  <si>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</si>
  <si>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</si>
  <si>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</si>
  <si>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</si>
  <si>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</si>
  <si>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</si>
  <si>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</si>
  <si>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</si>
  <si>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</si>
  <si>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</si>
  <si>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</si>
  <si>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</si>
  <si>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</si>
  <si>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</si>
  <si>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</si>
  <si>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</si>
  <si>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</si>
  <si>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</si>
  <si>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</si>
  <si>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</si>
  <si>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</si>
  <si>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</si>
  <si>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</si>
  <si>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</si>
  <si>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</si>
  <si>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</si>
  <si>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</si>
  <si>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</si>
  <si>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</si>
  <si>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</si>
  <si>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</si>
  <si>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</si>
  <si>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</si>
  <si>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</si>
  <si>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</si>
  <si>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</si>
  <si>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</si>
  <si>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</si>
  <si>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</si>
  <si>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</si>
  <si>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Inputs - row format</t>
  </si>
  <si>
    <t>Calculation of true up - Water Network</t>
  </si>
  <si>
    <t>Calculation of true up - Wastewater Network</t>
  </si>
  <si>
    <t>Calculation of true up - Bio Resources</t>
  </si>
  <si>
    <t>Calculation of true up - Dummy Control</t>
  </si>
  <si>
    <t>Error chks</t>
  </si>
  <si>
    <t>Constant</t>
  </si>
  <si>
    <t>Unit</t>
  </si>
  <si>
    <t>Total</t>
  </si>
  <si>
    <t>Data sourced from:</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</si>
  <si>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</si>
  <si>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</si>
  <si>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</si>
  <si>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</si>
  <si>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</si>
  <si>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</si>
  <si>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</si>
  <si>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</si>
  <si>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</si>
  <si>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</si>
  <si>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</si>
  <si>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</si>
  <si>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</si>
  <si>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</si>
  <si>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FINAL DETERMINATION ASSUMPTIONS</t>
  </si>
  <si>
    <t>RPI - final determination</t>
  </si>
  <si>
    <t>RPI: April - index - final determination</t>
  </si>
  <si>
    <t>index</t>
  </si>
  <si>
    <t>PR19 Financial model, 'Index' sheet row 131</t>
  </si>
  <si>
    <t>RPI: May - index - final determination</t>
  </si>
  <si>
    <t>PR19 Financial model, 'Index' sheet row 132</t>
  </si>
  <si>
    <t>RPI: June - index - final determination</t>
  </si>
  <si>
    <t>PR19 Financial model, 'Index' sheet row 133</t>
  </si>
  <si>
    <t>RPI: July - index - final determination</t>
  </si>
  <si>
    <t>PR19 Financial model, 'Index' sheet row 134</t>
  </si>
  <si>
    <t>RPI: August - index - final determination</t>
  </si>
  <si>
    <t>PR19 Financial model, 'Index' sheet row 135</t>
  </si>
  <si>
    <t>RPI: September - index - final determination</t>
  </si>
  <si>
    <t>PR19 Financial model, 'Index' sheet row 136</t>
  </si>
  <si>
    <t>RPI: October - index - final determination</t>
  </si>
  <si>
    <t>PR19 Financial model, 'Index' sheet row 137</t>
  </si>
  <si>
    <t>RPI: November - index - final determination</t>
  </si>
  <si>
    <t>PR19 Financial model, 'Index' sheet row 138</t>
  </si>
  <si>
    <t>RPI: December - index - final determination</t>
  </si>
  <si>
    <t>PR19 Financial model, 'Index' sheet row 139</t>
  </si>
  <si>
    <t>RPI: January - index - final determination</t>
  </si>
  <si>
    <t>PR19 Financial model, 'Index' sheet row 140</t>
  </si>
  <si>
    <t>RPI: February - index - final determination</t>
  </si>
  <si>
    <t>PR19 Financial model, 'Index' sheet row 141</t>
  </si>
  <si>
    <t>RPI: March - index - final determination</t>
  </si>
  <si>
    <t>PR19 Financial model, 'Index' sheet row 142</t>
  </si>
  <si>
    <t>CPI(H) - final determination</t>
  </si>
  <si>
    <t>CPI(H): April - index - final determination</t>
  </si>
  <si>
    <t>PR19 Financial model, 'Index' sheet F59 and 'Index' sheet row 10</t>
  </si>
  <si>
    <t>CPI(H): May - index - final determination</t>
  </si>
  <si>
    <t>PR19 Financial model, 'Index' sheet F60 and 'Index' sheet row 11</t>
  </si>
  <si>
    <t>CPI(H): June - index - final determination</t>
  </si>
  <si>
    <t>PR19 Financial model, 'Index' sheet F61 and 'Index' sheet row 12</t>
  </si>
  <si>
    <t>CPI(H): July - index - final determination</t>
  </si>
  <si>
    <t>PR19 Financial model, 'Index' sheet F62 and 'Index' sheet row 13</t>
  </si>
  <si>
    <t>CPI(H): August - index - final determination</t>
  </si>
  <si>
    <t>PR19 Financial model, 'Index' sheet F63 and 'Index' sheet row 14</t>
  </si>
  <si>
    <t>CPI(H): September - index - final determination</t>
  </si>
  <si>
    <t>PR19 Financial model, 'Index' sheet F64 and 'Index' sheet row 15</t>
  </si>
  <si>
    <t>CPI(H): October - index - final determination</t>
  </si>
  <si>
    <t>PR19 Financial model, 'Index' sheet F65 and 'Index' sheet row 16</t>
  </si>
  <si>
    <t>CPI(H): November - index - final determination</t>
  </si>
  <si>
    <t>PR19 Financial model, 'Index' sheet F66 and 'Index' sheet row 17</t>
  </si>
  <si>
    <t>CPI(H): December - index - final determination</t>
  </si>
  <si>
    <t>PR19 Financial model, 'Index' sheet F67 and 'Index' sheet row 18</t>
  </si>
  <si>
    <t>CPI(H): January - index - final determination</t>
  </si>
  <si>
    <t>PR19 Financial model, 'Index' sheet F68 and 'Index' sheet row 19</t>
  </si>
  <si>
    <t>CPI(H): February - index - final determination</t>
  </si>
  <si>
    <t>PR19 Financial model, 'Index' sheet F69 and 'Index' sheet row 20</t>
  </si>
  <si>
    <t>CPI(H): March - index - final determination</t>
  </si>
  <si>
    <t>PR19 Financial model, 'Index' sheet F70 and 'Index' sheet row 21</t>
  </si>
  <si>
    <t>OUTTURN INFLATION</t>
  </si>
  <si>
    <t>RPI - outturn</t>
  </si>
  <si>
    <t>RPI: April - index - actual (including forecast)</t>
  </si>
  <si>
    <t>ONS, RPI All Items Index: Jan 1987=100</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</si>
  <si>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</si>
  <si>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</si>
  <si>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</si>
  <si>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</si>
  <si>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</si>
  <si>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</si>
  <si>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</si>
  <si>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</si>
  <si>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</si>
  <si>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</si>
  <si>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</si>
  <si>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</si>
  <si>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</si>
  <si>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ONS, CPIH INDEX 00: ALL ITEMS 2015=100</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</si>
  <si>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</si>
  <si>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</si>
  <si>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</si>
  <si>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</si>
  <si>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</si>
  <si>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</si>
  <si>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</si>
  <si>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</si>
  <si>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</si>
  <si>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</si>
  <si>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</si>
  <si>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</si>
  <si>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COMPANY-SPECIFIC INPUTS</t>
  </si>
  <si>
    <t>2020 RCV RPI inflated - initial balance - nominal</t>
  </si>
  <si>
    <t>RCV - CPI(H) + RPI wedge initial balance - nominal - WR</t>
  </si>
  <si>
    <t>£m</t>
  </si>
  <si>
    <t>PR19 Financial model, 'RCV balance summary' sheet cell K23</t>
  </si>
  <si>
    <t>RCV - CPI(H) + RPI wedge initial balance - nominal - WN</t>
  </si>
  <si>
    <t>PR19 Financial model, 'RCV balance summary' sheet cell K93</t>
  </si>
  <si>
    <t>RCV - CPI(H) + RPI wedge initial balance - nominal - WWN</t>
  </si>
  <si>
    <t>PR19 Financial model, 'RCV balance summary' sheet cell K163</t>
  </si>
  <si>
    <t>RCV - CPI(H) + RPI wedge initial balance - nominal - BR</t>
  </si>
  <si>
    <t>PR19 Financial model, 'RCV balance summary' sheet cell K233</t>
  </si>
  <si>
    <t>RCV - CPI(H) + RPI wedge initial balance - nominal - DMMY</t>
  </si>
  <si>
    <t>PR19 Financial model, 'RCV balance summary' sheet cell K303</t>
  </si>
  <si>
    <t>2020 RCV RPI inflated - run-off rate</t>
  </si>
  <si>
    <t>Run-off rate - CPI(H) + RPI wedge - active - WR</t>
  </si>
  <si>
    <t>%</t>
  </si>
  <si>
    <t>PR19 Financial model, 'F_OutputsMaster' sheet row 953, PR19FM2090POST</t>
  </si>
  <si>
    <t>Run-off rate - CPI(H) + RPI wedge - active - WN</t>
  </si>
  <si>
    <t>PR19 Financial model, 'F_OutputsMaster' sheet row 956, PR19FM2093POST</t>
  </si>
  <si>
    <t>Run-off rate - CPI(H) + RPI wedge - active - WWN</t>
  </si>
  <si>
    <t>PR19 Financial model, 'F_OutputsMaster' sheet row 959, PR19FM2096POST</t>
  </si>
  <si>
    <t>Run-off rate - CPI(H) + RPI wedge - active - BR</t>
  </si>
  <si>
    <t>PR19 Financial model, 'F_OutputsMaster' sheet row 962, PR19FM2099POST</t>
  </si>
  <si>
    <t>Run-off rate - CPI(H) + RPI wedge - active - DMMY</t>
  </si>
  <si>
    <t>PR19 Financial model, 'F_OutputsMaster' sheet row 966, PR19FM2103POST</t>
  </si>
  <si>
    <t>Real RPI based wholesale WACC</t>
  </si>
  <si>
    <t>WACC on RCV - CPI(H) + RPI wedge bf and additions - WR</t>
  </si>
  <si>
    <t>PR19 Financial model, 'Water Resources' sheet row 980</t>
  </si>
  <si>
    <t>WACC on RCV - CPI(H) + RPI wedge bf and additions - WN</t>
  </si>
  <si>
    <t>PR19 Financial model, 'Water Network' sheet row 980</t>
  </si>
  <si>
    <t>WACC on RCV - CPI(H) + RPI wedge bf and additions - WWN</t>
  </si>
  <si>
    <t>PR19 Financial model, 'Wastewater Network' sheet row 980</t>
  </si>
  <si>
    <t>WACC on RCV - CPI(H) + RPI wedge bf and additions - BR</t>
  </si>
  <si>
    <t>PR19 Financial model, 'Bio Resources' sheet row 980</t>
  </si>
  <si>
    <t>WACC on RCV - CPI(H) + RPI wedge bf and additions - DMMY</t>
  </si>
  <si>
    <t>PR19 Financial model, 'Dummy Control' sheet row 980</t>
  </si>
  <si>
    <t>Real CPIH based wholesale WACC</t>
  </si>
  <si>
    <t>WACC real on RCV - CPI(H) bf and additions - WR</t>
  </si>
  <si>
    <t>PR19 Financial model, 'Water Resources' sheet row 860</t>
  </si>
  <si>
    <t>WACC real on RCV - CPI(H) bf and additions - WN</t>
  </si>
  <si>
    <t>PR19 Financial model, 'Water Network' sheet row 860</t>
  </si>
  <si>
    <t>WACC real on RCV - CPI(H) bf and additions - WWN</t>
  </si>
  <si>
    <t>PR19 Financial model, 'Wastewater Network' sheet row 860</t>
  </si>
  <si>
    <t>WACC real on RCV - CPI(H) bf and additions - BR</t>
  </si>
  <si>
    <t>PR19 Financial model, 'Bio Resources' sheet row 860</t>
  </si>
  <si>
    <t>WACC real on RCV - CPI(H) bf and additions - DMMY</t>
  </si>
  <si>
    <t>PR19 Financial model, 'Dummy Control' sheet row 860</t>
  </si>
  <si>
    <t>NON CHANGEABLE INPUTS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</si>
  <si>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</si>
  <si>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</si>
  <si>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</si>
  <si>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</si>
  <si>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</si>
  <si>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</si>
  <si>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</si>
  <si>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</si>
  <si>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</si>
  <si>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</si>
  <si>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</si>
  <si>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</si>
  <si>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</si>
  <si>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</si>
  <si>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</si>
  <si>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</si>
  <si>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</si>
  <si>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</si>
  <si>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</si>
  <si>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</si>
  <si>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</si>
  <si>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</si>
  <si>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</si>
  <si>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</si>
  <si>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</si>
  <si>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</si>
  <si>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</si>
  <si>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</si>
  <si>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</si>
  <si>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</si>
  <si>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</si>
  <si>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</si>
  <si>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</si>
  <si>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</si>
  <si>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</si>
  <si>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</si>
  <si>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</si>
  <si>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</si>
  <si>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</si>
  <si>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</si>
  <si>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</si>
  <si>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</si>
  <si>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</si>
  <si>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</si>
  <si>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</si>
  <si>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</si>
  <si>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</si>
  <si>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</si>
  <si>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</si>
  <si>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</si>
  <si>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</si>
  <si>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</si>
  <si>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</si>
  <si>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</si>
  <si>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</si>
  <si>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</si>
  <si>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</si>
  <si>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</si>
  <si>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</si>
  <si>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</si>
  <si>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</si>
  <si>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</si>
  <si>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</si>
  <si>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</si>
  <si>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</si>
  <si>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</si>
  <si>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</si>
  <si>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</si>
  <si>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</si>
  <si>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</si>
  <si>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</si>
  <si>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</si>
  <si>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</si>
  <si>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</si>
  <si>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</si>
  <si>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</si>
  <si>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</si>
  <si>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</si>
  <si>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</si>
  <si>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</si>
  <si>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</si>
  <si>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</si>
  <si>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</si>
  <si>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</si>
  <si>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</si>
  <si>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</si>
  <si>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</si>
  <si>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</si>
  <si>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</si>
  <si>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</si>
  <si>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</si>
  <si>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</si>
  <si>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</si>
  <si>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</si>
  <si>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</si>
  <si>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</si>
  <si>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</si>
  <si>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</si>
  <si>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</si>
  <si>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</si>
  <si>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</si>
  <si>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</si>
  <si>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</si>
  <si>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</si>
  <si>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</si>
  <si>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</si>
  <si>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</si>
  <si>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</si>
  <si>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</si>
  <si>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</si>
  <si>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</si>
  <si>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</si>
  <si>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</si>
  <si>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</si>
  <si>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</si>
  <si>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</si>
  <si>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</si>
  <si>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</si>
  <si>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</si>
  <si>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Difference RCV average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</si>
  <si>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</si>
  <si>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</si>
  <si>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</si>
  <si>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</si>
  <si>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</si>
  <si>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</si>
  <si>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</si>
  <si>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</si>
  <si>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</si>
  <si>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</si>
  <si>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</si>
  <si>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</si>
  <si>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RCV adjustment at end of period - real -WN</t>
  </si>
  <si>
    <t>Revenue adjustment for RCV run-off - real - WN</t>
  </si>
  <si>
    <t>Revenue adjustment for return - real - WN</t>
  </si>
  <si>
    <t>RCV adjustment at end of period - real - WWN</t>
  </si>
  <si>
    <t>Revenue adjustment for RCV run-off - real - WWN</t>
  </si>
  <si>
    <t>Revenue adjustment for return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</si>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</sst>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294">
    <xf numFmtId="0" fontId="0" fillId="0" borderId="0" xfId="0"/>
    <xf numFmtId="0" fontId="0" fillId="44" borderId="0" xfId="0" applyFill="1"/>
    <xf numFmtId="0" fontId="25" fillId="0" borderId="0" xfId="0" applyFont="1" applyAlignment="1">
      <alignment vertical="top"/>
    </xf>
    <xf numFmtId="0" fontId="18" fillId="45" borderId="0" xfId="0" applyFont="1" applyFill="1" applyAlignment="1">
      <alignment vertical="top"/>
    </xf>
    <xf numFmtId="0" fontId="24" fillId="0" borderId="0" xfId="55" applyNumberFormat="1">
      <alignment vertical="top"/>
    </xf>
    <xf numFmtId="0" fontId="22" fillId="0" borderId="0" xfId="0" applyFont="1" applyAlignment="1">
      <alignment vertical="top"/>
    </xf>
    <xf numFmtId="0" fontId="18" fillId="0" borderId="0" xfId="0" applyFont="1" applyAlignment="1">
      <alignment horizontal="right" vertical="top"/>
    </xf>
    <xf numFmtId="0" fontId="18" fillId="0" borderId="0" xfId="0" applyFont="1" applyAlignment="1">
      <alignment vertical="top"/>
    </xf>
    <xf numFmtId="0" fontId="18" fillId="43" borderId="0" xfId="0" applyFont="1" applyFill="1" applyAlignment="1">
      <alignment vertical="top"/>
    </xf>
    <xf numFmtId="0" fontId="23" fillId="0" borderId="0" xfId="0" applyFont="1" applyAlignment="1">
      <alignment vertical="top"/>
    </xf>
    <xf numFmtId="0" fontId="16" fillId="44" borderId="0" xfId="0" applyFont="1" applyFill="1"/>
    <xf numFmtId="0" fontId="1"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lignment vertical="top"/>
    </xf>
    <xf numFmtId="168" fontId="18" fillId="0" borderId="0" xfId="61" applyFont="1">
      <alignment vertical="top"/>
    </xf>
    <xf numFmtId="167" fontId="18" fillId="0" borderId="0" xfId="60" applyFont="1" applyFill="1">
      <alignment vertical="top"/>
    </xf>
    <xf numFmtId="170" fontId="18" fillId="50" borderId="0" xfId="0" applyNumberFormat="1" applyFont="1" applyFill="1" applyAlignment="1">
      <alignment vertical="top"/>
    </xf>
    <xf numFmtId="170" fontId="0" fillId="0" borderId="0" xfId="0" applyNumberFormat="1" applyAlignment="1">
      <alignment vertical="top"/>
    </xf>
    <xf numFmtId="170" fontId="18" fillId="0" borderId="0" xfId="0" applyNumberFormat="1" applyFont="1" applyAlignment="1">
      <alignment vertical="top"/>
    </xf>
    <xf numFmtId="170" fontId="18" fillId="0" borderId="0" xfId="0" applyNumberFormat="1" applyFont="1" applyAlignment="1">
      <alignment horizontal="right" vertical="top"/>
    </xf>
    <xf numFmtId="170" fontId="23" fillId="0" borderId="0" xfId="0" applyNumberFormat="1" applyFont="1" applyAlignment="1">
      <alignment vertical="top"/>
    </xf>
    <xf numFmtId="170" fontId="22" fillId="0" borderId="0" xfId="0" applyNumberFormat="1" applyFont="1" applyAlignment="1">
      <alignment vertical="top"/>
    </xf>
    <xf numFmtId="167" fontId="18" fillId="0" borderId="0" xfId="60" applyFont="1">
      <alignment vertical="top"/>
    </xf>
    <xf numFmtId="168" fontId="18" fillId="0" borderId="0" xfId="61" applyFont="1" applyBorder="1">
      <alignment vertical="top"/>
    </xf>
    <xf numFmtId="0" fontId="27" fillId="0" borderId="0" xfId="0" applyFont="1" applyAlignment="1">
      <alignment vertical="top"/>
    </xf>
    <xf numFmtId="168" fontId="22" fillId="0" borderId="0" xfId="61" applyFont="1" applyBorder="1">
      <alignment vertical="top"/>
    </xf>
    <xf numFmtId="164" fontId="18" fillId="49" borderId="0" xfId="0" applyNumberFormat="1" applyFont="1" applyFill="1" applyAlignment="1">
      <alignment vertical="top"/>
    </xf>
    <xf numFmtId="0" fontId="28" fillId="0" borderId="0" xfId="0" applyFont="1" applyAlignment="1">
      <alignment vertical="top"/>
    </xf>
    <xf numFmtId="168" fontId="18" fillId="0" borderId="0" xfId="61" applyFont="1" applyFill="1">
      <alignment vertical="top"/>
    </xf>
    <xf numFmtId="167" fontId="24" fillId="0" borderId="0" xfId="60" applyFont="1" applyFill="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167" fontId="24" fillId="0" borderId="0" xfId="60" applyFont="1">
      <alignment vertical="top"/>
    </xf>
    <xf numFmtId="0" fontId="24" fillId="0" borderId="0" xfId="0" applyFont="1" applyAlignment="1">
      <alignment vertical="top"/>
    </xf>
    <xf numFmtId="171" fontId="18" fillId="0" borderId="0" xfId="0" applyNumberFormat="1" applyFont="1" applyAlignment="1">
      <alignment vertical="top"/>
    </xf>
    <xf numFmtId="168" fontId="14" fillId="0" borderId="0" xfId="61" applyFont="1" applyFill="1">
      <alignment vertical="top"/>
    </xf>
    <xf numFmtId="168" fontId="14" fillId="48" borderId="0" xfId="61" applyFont="1" applyFill="1">
      <alignment vertical="top"/>
    </xf>
    <xf numFmtId="172" fontId="18" fillId="0" borderId="0" xfId="0" applyNumberFormat="1" applyFont="1" applyAlignment="1">
      <alignment vertical="top"/>
    </xf>
    <xf numFmtId="173" fontId="18" fillId="0" borderId="0" xfId="62" applyNumberFormat="1" applyFont="1">
      <alignment vertical="top"/>
    </xf>
    <xf numFmtId="173" fontId="18" fillId="44" borderId="0" xfId="62" applyNumberFormat="1" applyFont="1" applyFill="1">
      <alignment vertical="top"/>
    </xf>
    <xf numFmtId="0" fontId="18" fillId="42" borderId="0" xfId="0" applyFont="1" applyFill="1" applyAlignment="1">
      <alignment vertical="top"/>
    </xf>
    <xf numFmtId="43" fontId="18" fillId="0" borderId="0" xfId="1" applyFont="1" applyBorder="1" applyAlignment="1">
      <alignment vertical="top"/>
    </xf>
    <xf numFmtId="168" fontId="18" fillId="0" borderId="0" xfId="61" applyFont="1" applyFill="1" applyBorder="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0" fontId="23" fillId="0" borderId="0" xfId="67">
      <alignment vertical="top"/>
    </xf>
    <xf numFmtId="0" fontId="1" fillId="0" borderId="0" xfId="0" applyFont="1" applyAlignment="1">
      <alignment vertical="top"/>
    </xf>
    <xf numFmtId="173" fontId="22" fillId="0" borderId="0" xfId="66" applyNumberFormat="1" applyFill="1">
      <alignment vertical="top"/>
    </xf>
    <xf numFmtId="173" fontId="23" fillId="0" borderId="0" xfId="67" applyNumberFormat="1">
      <alignment vertical="top"/>
    </xf>
    <xf numFmtId="173" fontId="18" fillId="0" borderId="0" xfId="68" applyNumberFormat="1">
      <alignment horizontal="right" vertical="top"/>
    </xf>
    <xf numFmtId="172" fontId="22" fillId="0" borderId="0" xfId="66" applyNumberFormat="1" applyFill="1">
      <alignment vertical="top"/>
    </xf>
    <xf numFmtId="172" fontId="23" fillId="0" borderId="0" xfId="67" applyNumberFormat="1" applyFill="1">
      <alignment vertical="top"/>
    </xf>
    <xf numFmtId="172" fontId="18" fillId="0" borderId="0" xfId="68" applyNumberFormat="1" applyFill="1">
      <alignment horizontal="right" vertical="top"/>
    </xf>
    <xf numFmtId="167" fontId="22" fillId="0" borderId="0" xfId="66" applyNumberFormat="1" applyFill="1">
      <alignment vertical="top"/>
    </xf>
    <xf numFmtId="167" fontId="23" fillId="0" borderId="0" xfId="67" applyNumberFormat="1">
      <alignment vertical="top"/>
    </xf>
    <xf numFmtId="167" fontId="18" fillId="0" borderId="0" xfId="68" applyNumberFormat="1">
      <alignment horizontal="right" vertical="top"/>
    </xf>
    <xf numFmtId="168" fontId="22" fillId="0" borderId="0" xfId="66" applyFill="1">
      <alignment vertical="top"/>
    </xf>
    <xf numFmtId="168" fontId="23" fillId="0" borderId="0" xfId="67" applyNumberFormat="1">
      <alignment vertical="top"/>
    </xf>
    <xf numFmtId="168" fontId="18" fillId="0" borderId="0" xfId="68" applyNumberFormat="1">
      <alignment horizontal="right" vertical="top"/>
    </xf>
    <xf numFmtId="168" fontId="23" fillId="0" borderId="0" xfId="67" applyNumberFormat="1" applyFill="1">
      <alignment vertical="top"/>
    </xf>
    <xf numFmtId="168" fontId="18" fillId="0" borderId="0" xfId="68" applyNumberFormat="1" applyFill="1">
      <alignment horizontal="right" vertical="top"/>
    </xf>
    <xf numFmtId="171" fontId="22" fillId="0" borderId="0" xfId="66" applyNumberFormat="1" applyFill="1">
      <alignment vertical="top"/>
    </xf>
    <xf numFmtId="171" fontId="23" fillId="0" borderId="0" xfId="67" applyNumberFormat="1" applyFill="1">
      <alignment vertical="top"/>
    </xf>
    <xf numFmtId="171" fontId="18" fillId="0" borderId="0" xfId="68" applyNumberFormat="1" applyFill="1">
      <alignment horizontal="right" vertical="top"/>
    </xf>
    <xf numFmtId="167" fontId="23" fillId="0" borderId="0" xfId="67" applyNumberFormat="1" applyFill="1">
      <alignment vertical="top"/>
    </xf>
    <xf numFmtId="167" fontId="18" fillId="0" borderId="0" xfId="68" applyNumberFormat="1" applyFill="1">
      <alignment horizontal="right" vertical="top"/>
    </xf>
    <xf numFmtId="168" fontId="1" fillId="0" borderId="0" xfId="61" applyFont="1">
      <alignment vertical="top"/>
    </xf>
    <xf numFmtId="167" fontId="22" fillId="0" borderId="0" xfId="66" applyNumberFormat="1">
      <alignment vertical="top"/>
    </xf>
    <xf numFmtId="168" fontId="1" fillId="0" borderId="0" xfId="61" applyFont="1" applyFill="1">
      <alignment vertical="top"/>
    </xf>
    <xf numFmtId="168" fontId="1" fillId="48" borderId="0" xfId="61" applyFont="1" applyFill="1">
      <alignment vertical="top"/>
    </xf>
    <xf numFmtId="168" fontId="22" fillId="0" borderId="0" xfId="66">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lignment vertical="top"/>
    </xf>
    <xf numFmtId="43" fontId="24" fillId="0" borderId="0" xfId="0" applyNumberFormat="1" applyFont="1" applyAlignment="1">
      <alignment vertical="top"/>
    </xf>
    <xf numFmtId="0" fontId="29"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43" fontId="35" fillId="33" borderId="0" xfId="1" applyFont="1" applyFill="1"/>
    <xf numFmtId="0" fontId="33" fillId="33" borderId="0" xfId="0" applyFont="1" applyFill="1"/>
    <xf numFmtId="164" fontId="22" fillId="0" borderId="0" xfId="66" applyNumberForma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Border="1" applyAlignment="1">
      <alignment vertical="top"/>
    </xf>
    <xf numFmtId="0" fontId="22" fillId="53" borderId="0" xfId="0" applyFont="1" applyFill="1" applyAlignment="1">
      <alignment vertical="top"/>
    </xf>
    <xf numFmtId="0" fontId="18" fillId="53" borderId="0" xfId="0" applyFont="1" applyFill="1" applyAlignment="1">
      <alignment vertical="top"/>
    </xf>
    <xf numFmtId="0" fontId="22" fillId="53" borderId="0" xfId="0" applyFont="1" applyFill="1" applyAlignment="1">
      <alignment horizontal="left" vertical="top"/>
    </xf>
    <xf numFmtId="0" fontId="18" fillId="54" borderId="0" xfId="0" applyFont="1" applyFill="1" applyAlignment="1">
      <alignment horizontal="left" vertical="top"/>
    </xf>
    <xf numFmtId="0" fontId="18" fillId="0" borderId="0" xfId="0" applyFont="1" applyAlignment="1">
      <alignment horizontal="left" vertical="top"/>
    </xf>
    <xf numFmtId="0" fontId="18" fillId="55" borderId="0" xfId="0" applyFont="1" applyFill="1" applyAlignment="1">
      <alignment horizontal="left" vertical="top"/>
    </xf>
    <xf numFmtId="0" fontId="18" fillId="56" borderId="0" xfId="0" applyFont="1" applyFill="1" applyAlignment="1">
      <alignment horizontal="left" vertical="top"/>
    </xf>
    <xf numFmtId="0" fontId="18" fillId="45" borderId="0" xfId="0" applyFont="1" applyFill="1" applyAlignment="1">
      <alignment horizontal="left" vertical="top"/>
    </xf>
    <xf numFmtId="0" fontId="18" fillId="43" borderId="0" xfId="0" applyFont="1" applyFill="1" applyAlignment="1">
      <alignment horizontal="left" vertical="top"/>
    </xf>
    <xf numFmtId="0" fontId="18" fillId="54" borderId="0" xfId="0" applyFont="1" applyFill="1" applyAlignment="1">
      <alignment vertical="top"/>
    </xf>
    <xf numFmtId="0" fontId="18" fillId="55" borderId="0" xfId="0" applyFont="1" applyFill="1" applyAlignment="1">
      <alignment vertical="top"/>
    </xf>
    <xf numFmtId="0" fontId="24" fillId="55" borderId="0" xfId="0" applyFont="1" applyFill="1" applyAlignment="1">
      <alignment vertical="top"/>
    </xf>
    <xf numFmtId="0" fontId="18" fillId="56" borderId="0" xfId="0" applyFont="1" applyFill="1" applyAlignment="1">
      <alignment vertical="top"/>
    </xf>
    <xf numFmtId="0" fontId="18" fillId="57" borderId="0" xfId="0" applyFont="1" applyFill="1" applyAlignment="1">
      <alignment vertical="top"/>
    </xf>
    <xf numFmtId="0" fontId="18" fillId="58" borderId="0" xfId="0" applyFont="1" applyFill="1" applyAlignment="1">
      <alignment vertical="top"/>
    </xf>
    <xf numFmtId="0" fontId="18" fillId="59" borderId="0" xfId="0" applyFont="1" applyFill="1" applyAlignment="1">
      <alignment vertical="top"/>
    </xf>
    <xf numFmtId="0" fontId="18" fillId="60" borderId="0" xfId="0" applyFont="1" applyFill="1" applyAlignment="1">
      <alignment vertical="top"/>
    </xf>
    <xf numFmtId="0" fontId="18" fillId="47" borderId="0" xfId="0" applyFont="1" applyFill="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Font="1" applyFill="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22" fillId="0" borderId="0" xfId="1" applyFont="1" applyAlignment="1">
      <alignment vertical="top"/>
    </xf>
    <xf numFmtId="43" fontId="18" fillId="0" borderId="0" xfId="1" applyFont="1" applyAlignment="1">
      <alignment horizontal="righ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10" fontId="28" fillId="0" borderId="0" xfId="0" applyNumberFormat="1" applyFont="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Border="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Alignment="1">
      <alignment horizontal="left" vertical="top"/>
    </xf>
    <xf numFmtId="0" fontId="16" fillId="0" borderId="0" xfId="0" applyFont="1"/>
    <xf numFmtId="2" fontId="18" fillId="50" borderId="0" xfId="0" applyNumberFormat="1" applyFont="1" applyFill="1" applyAlignment="1">
      <alignment vertical="top"/>
    </xf>
    <xf numFmtId="0" fontId="18" fillId="62" borderId="0" xfId="0" applyFont="1" applyFill="1" applyAlignment="1">
      <alignment vertical="top"/>
    </xf>
    <xf numFmtId="180" fontId="18" fillId="0" borderId="0" xfId="0" applyNumberFormat="1" applyFont="1" applyAlignment="1">
      <alignment vertical="top"/>
    </xf>
    <xf numFmtId="43" fontId="28" fillId="0" borderId="0" xfId="0" applyNumberFormat="1" applyFont="1" applyAlignment="1">
      <alignment vertical="top"/>
    </xf>
    <xf numFmtId="181" fontId="18" fillId="0" borderId="0" xfId="0" applyNumberFormat="1" applyFont="1" applyAlignment="1">
      <alignment vertical="top"/>
    </xf>
    <xf numFmtId="0" fontId="18" fillId="0" borderId="0" xfId="66" applyNumberFormat="1" applyFo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Alignment="1">
      <alignment vertical="top"/>
    </xf>
    <xf numFmtId="181" fontId="14" fillId="0" borderId="0" xfId="0" applyNumberFormat="1" applyFont="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39" fillId="0" borderId="12" xfId="67" applyFont="1" applyFill="1" applyBorder="1">
      <alignment vertical="top"/>
    </xf>
    <xf numFmtId="0" fontId="39" fillId="0" borderId="0" xfId="67" applyFont="1" applyFill="1" applyBorder="1">
      <alignmen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185" fontId="24" fillId="0" borderId="0" xfId="0" applyNumberFormat="1" applyFont="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18" fillId="50" borderId="0" xfId="0" applyNumberFormat="1" applyFont="1" applyFill="1" applyAlignment="1">
      <alignment vertical="top"/>
    </xf>
    <xf numFmtId="15" fontId="41" fillId="63" borderId="0" xfId="0" applyNumberFormat="1" applyFont="1" applyFill="1" applyAlignment="1">
      <alignment horizontal="left"/>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8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tabSelected="1" zoomScaleNormal="100" workbookViewId="0">
      <pane ySplit="9" topLeftCell="A10" activePane="bottomLeft" state="frozen"/>
      <selection pane="bottomLeft" activeCell="B3" sqref="B3"/>
    </sheetView>
  </sheetViews>
  <sheetFormatPr defaultRowHeight="12.9" x14ac:dyDescent="0.25"/>
  <cols>
    <col min="1" max="1" width="30.453125" bestFit="1" customWidth="1"/>
    <col min="2" max="2" width="108" customWidth="1"/>
    <col min="3" max="3" width="20.453125" customWidth="1"/>
  </cols>
  <sheetData>
    <row r="1" spans="1:6" ht="30.1" thickBot="1" x14ac:dyDescent="0.55000000000000004">
      <c r="A1" s="256" t="str">
        <f ca="1" xml:space="preserve"> RIGHT(CELL("filename", $A$1), LEN(CELL("filename", $A$1)) - SEARCH("]", CELL("filename", $A$1)))</f>
        <v>Cover</v>
      </c>
      <c r="B1" s="256"/>
      <c r="C1" s="256"/>
      <c r="D1" s="256"/>
      <c r="E1" s="256"/>
      <c r="F1" s="256"/>
    </row>
    <row r="2" spans="1:6" ht="3.9" customHeight="1" x14ac:dyDescent="0.4">
      <c r="A2" s="257"/>
      <c r="B2" s="257"/>
      <c r="C2" s="257"/>
      <c r="D2" s="257"/>
      <c r="E2" s="257"/>
      <c r="F2" s="257"/>
    </row>
    <row r="3" spans="1:6" ht="16.149999999999999" x14ac:dyDescent="0.4">
      <c r="A3" s="258" t="s">
        <v>0</v>
      </c>
      <c r="B3" s="258" t="s">
        <v>1</v>
      </c>
      <c r="C3" s="259"/>
      <c r="D3" s="259"/>
      <c r="E3" s="259"/>
      <c r="F3" s="259"/>
    </row>
    <row r="4" spans="1:6" ht="16.149999999999999" x14ac:dyDescent="0.4">
      <c r="A4" s="258" t="s">
        <v>2</v>
      </c>
      <c r="B4" s="289">
        <v>5</v>
      </c>
      <c r="C4" s="259"/>
      <c r="D4" s="259"/>
      <c r="E4" s="259"/>
      <c r="F4" s="259"/>
    </row>
    <row r="5" spans="1:6" ht="16.149999999999999" x14ac:dyDescent="0.4">
      <c r="A5" s="258" t="s">
        <v>3</v>
      </c>
      <c r="B5" s="289" t="s">
        <v>4</v>
      </c>
      <c r="C5" s="259"/>
      <c r="D5" s="259"/>
      <c r="E5" s="259"/>
      <c r="F5" s="259"/>
    </row>
    <row r="6" spans="1:6" ht="16.149999999999999" x14ac:dyDescent="0.4">
      <c r="A6" s="258" t="s">
        <v>5</v>
      </c>
      <c r="B6" s="293">
        <v>44167</v>
      </c>
      <c r="C6" s="259"/>
      <c r="D6" s="259"/>
      <c r="E6" s="259"/>
      <c r="F6" s="259"/>
    </row>
    <row r="7" spans="1:6" ht="16.149999999999999" x14ac:dyDescent="0.4">
      <c r="A7" s="258" t="s">
        <v>6</v>
      </c>
      <c r="B7" s="258" t="s">
        <v>7</v>
      </c>
      <c r="C7" s="259"/>
      <c r="D7" s="259"/>
      <c r="E7" s="259"/>
      <c r="F7" s="259"/>
    </row>
    <row r="8" spans="1:6" ht="16.149999999999999" x14ac:dyDescent="0.4">
      <c r="A8" s="258" t="s">
        <v>8</v>
      </c>
      <c r="B8" s="258" t="s">
        <v>9</v>
      </c>
      <c r="C8" s="259"/>
      <c r="D8" s="259"/>
      <c r="E8" s="259"/>
      <c r="F8" s="259"/>
    </row>
    <row r="9" spans="1:6" ht="3.9" customHeight="1" x14ac:dyDescent="0.4">
      <c r="A9" s="258"/>
      <c r="B9" s="258"/>
      <c r="C9" s="258"/>
      <c r="D9" s="258"/>
      <c r="E9" s="258"/>
      <c r="F9" s="258"/>
    </row>
    <row r="11" spans="1:6" ht="14.55" x14ac:dyDescent="0.25">
      <c r="A11" s="260" t="s">
        <v>10</v>
      </c>
      <c r="B11" s="261" t="s">
        <v>11</v>
      </c>
    </row>
    <row r="12" spans="1:6" ht="14.55" x14ac:dyDescent="0.25">
      <c r="A12" s="260"/>
      <c r="B12" s="261" t="s">
        <v>12</v>
      </c>
    </row>
    <row r="13" spans="1:6" ht="14.55" x14ac:dyDescent="0.25">
      <c r="A13" s="260"/>
      <c r="B13" s="261" t="s">
        <v>13</v>
      </c>
    </row>
    <row r="14" spans="1:6" x14ac:dyDescent="0.25">
      <c r="A14" s="261"/>
      <c r="B14" s="261"/>
    </row>
    <row r="15" spans="1:6" ht="14.55" x14ac:dyDescent="0.25">
      <c r="A15" s="260" t="s">
        <v>14</v>
      </c>
      <c r="B15" s="261"/>
    </row>
    <row r="16" spans="1:6" x14ac:dyDescent="0.25">
      <c r="A16" s="261"/>
      <c r="B16" s="261"/>
    </row>
    <row r="17" spans="1:2" ht="14.55" x14ac:dyDescent="0.25">
      <c r="A17" s="260" t="s">
        <v>15</v>
      </c>
      <c r="B17" s="261"/>
    </row>
    <row r="18" spans="1:2" x14ac:dyDescent="0.25">
      <c r="A18" s="261"/>
      <c r="B18" s="261"/>
    </row>
    <row r="19" spans="1:2" ht="14.55" x14ac:dyDescent="0.25">
      <c r="A19" s="260" t="s">
        <v>16</v>
      </c>
      <c r="B19" s="261"/>
    </row>
    <row r="20" spans="1:2" x14ac:dyDescent="0.25">
      <c r="A20" s="227" t="s">
        <v>17</v>
      </c>
      <c r="B20" s="261"/>
    </row>
    <row r="21" spans="1:2" x14ac:dyDescent="0.25">
      <c r="A21" s="290" t="s">
        <v>18</v>
      </c>
      <c r="B21" s="290" t="s">
        <v>19</v>
      </c>
    </row>
    <row r="22" spans="1:2" ht="38.700000000000003" x14ac:dyDescent="0.25">
      <c r="A22" s="290" t="s">
        <v>20</v>
      </c>
      <c r="B22" s="291" t="s">
        <v>21</v>
      </c>
    </row>
    <row r="23" spans="1:2" x14ac:dyDescent="0.25">
      <c r="B23" s="261"/>
    </row>
    <row r="24" spans="1:2" x14ac:dyDescent="0.25">
      <c r="A24" s="227" t="s">
        <v>22</v>
      </c>
      <c r="B24" s="261"/>
    </row>
    <row r="25" spans="1:2" x14ac:dyDescent="0.25">
      <c r="A25" t="s">
        <v>23</v>
      </c>
      <c r="B25" s="261" t="s">
        <v>24</v>
      </c>
    </row>
    <row r="26" spans="1:2" x14ac:dyDescent="0.25">
      <c r="A26" t="s">
        <v>25</v>
      </c>
      <c r="B26" s="261" t="s">
        <v>26</v>
      </c>
    </row>
    <row r="27" spans="1:2" x14ac:dyDescent="0.25">
      <c r="A27" t="s">
        <v>27</v>
      </c>
      <c r="B27" s="261" t="s">
        <v>28</v>
      </c>
    </row>
    <row r="28" spans="1:2" x14ac:dyDescent="0.25">
      <c r="A28" t="s">
        <v>29</v>
      </c>
      <c r="B28" s="261" t="s">
        <v>30</v>
      </c>
    </row>
    <row r="29" spans="1:2" x14ac:dyDescent="0.25">
      <c r="A29" t="s">
        <v>31</v>
      </c>
      <c r="B29" s="261" t="s">
        <v>32</v>
      </c>
    </row>
    <row r="30" spans="1:2" x14ac:dyDescent="0.25">
      <c r="B30" s="261"/>
    </row>
    <row r="31" spans="1:2" x14ac:dyDescent="0.25">
      <c r="A31" s="227" t="s">
        <v>33</v>
      </c>
      <c r="B31" s="261"/>
    </row>
    <row r="32" spans="1:2" x14ac:dyDescent="0.25">
      <c r="A32" t="s">
        <v>34</v>
      </c>
      <c r="B32" s="261" t="s">
        <v>35</v>
      </c>
    </row>
    <row r="33" spans="1:3" x14ac:dyDescent="0.25">
      <c r="A33" t="s">
        <v>36</v>
      </c>
      <c r="B33" s="261" t="s">
        <v>37</v>
      </c>
    </row>
    <row r="34" spans="1:3" x14ac:dyDescent="0.25">
      <c r="A34" t="s">
        <v>38</v>
      </c>
      <c r="B34" s="261" t="s">
        <v>39</v>
      </c>
    </row>
    <row r="35" spans="1:3" x14ac:dyDescent="0.25">
      <c r="A35" t="s">
        <v>40</v>
      </c>
      <c r="B35" s="261" t="s">
        <v>41</v>
      </c>
    </row>
    <row r="36" spans="1:3" x14ac:dyDescent="0.25">
      <c r="A36" t="s">
        <v>42</v>
      </c>
      <c r="B36" s="261" t="s">
        <v>43</v>
      </c>
    </row>
    <row r="37" spans="1:3" x14ac:dyDescent="0.25">
      <c r="B37" s="261"/>
    </row>
    <row r="38" spans="1:3" x14ac:dyDescent="0.25">
      <c r="A38" s="261"/>
      <c r="B38" s="261"/>
    </row>
    <row r="39" spans="1:3" ht="14.55" x14ac:dyDescent="0.25">
      <c r="A39" s="260" t="s">
        <v>44</v>
      </c>
      <c r="B39" s="261"/>
    </row>
    <row r="40" spans="1:3" ht="14.55" x14ac:dyDescent="0.25">
      <c r="A40" s="260"/>
      <c r="B40" s="261" t="s">
        <v>45</v>
      </c>
    </row>
    <row r="41" spans="1:3" ht="14.55" x14ac:dyDescent="0.25">
      <c r="A41" s="260"/>
      <c r="B41" s="261" t="s">
        <v>46</v>
      </c>
    </row>
    <row r="42" spans="1:3" ht="14.55" x14ac:dyDescent="0.25">
      <c r="A42" s="260"/>
      <c r="B42" s="261" t="s">
        <v>47</v>
      </c>
    </row>
    <row r="43" spans="1:3" ht="14.55" x14ac:dyDescent="0.25">
      <c r="A43" s="260"/>
      <c r="B43" s="261" t="s">
        <v>48</v>
      </c>
    </row>
    <row r="44" spans="1:3" ht="14.55" x14ac:dyDescent="0.25">
      <c r="A44" s="260"/>
      <c r="B44" s="261" t="s">
        <v>49</v>
      </c>
    </row>
    <row r="45" spans="1:3" ht="14.55" x14ac:dyDescent="0.25">
      <c r="A45" s="260"/>
      <c r="B45" s="261" t="s">
        <v>50</v>
      </c>
    </row>
    <row r="46" spans="1:3" ht="14.55" x14ac:dyDescent="0.25">
      <c r="A46" s="260"/>
      <c r="B46" s="261"/>
    </row>
    <row r="47" spans="1:3" ht="13.45" thickBot="1" x14ac:dyDescent="0.3">
      <c r="A47" s="261"/>
      <c r="B47" s="261"/>
    </row>
    <row r="48" spans="1:3" ht="15.05" thickBot="1" x14ac:dyDescent="0.3">
      <c r="A48" s="260" t="s">
        <v>51</v>
      </c>
      <c r="B48" s="261"/>
      <c r="C48" s="262" t="s">
        <v>52</v>
      </c>
    </row>
    <row r="49" spans="1:6" ht="14.55" x14ac:dyDescent="0.25">
      <c r="A49" s="260"/>
      <c r="B49" t="s">
        <v>53</v>
      </c>
      <c r="C49" s="29">
        <f xml:space="preserve"> Checks!$F$9</f>
        <v>0</v>
      </c>
    </row>
    <row r="51" spans="1:6" ht="14" x14ac:dyDescent="0.35">
      <c r="A51" s="263" t="s">
        <v>54</v>
      </c>
      <c r="B51" s="263"/>
      <c r="C51" s="263"/>
      <c r="D51" s="263"/>
      <c r="E51" s="263"/>
      <c r="F51" s="263"/>
    </row>
  </sheetData>
  <conditionalFormatting sqref="C49">
    <cfRule type="cellIs" dxfId="84" priority="5" stopIfTrue="1" operator="notEqual">
      <formula>0</formula>
    </cfRule>
    <cfRule type="cellIs" dxfId="83"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45"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25" x14ac:dyDescent="0.45">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ht="12.9" x14ac:dyDescent="0.25">
      <c r="A8" s="285" t="s">
        <v>344</v>
      </c>
      <c r="B8" s="286"/>
      <c r="C8" s="287"/>
      <c r="D8" s="287"/>
      <c r="E8" s="287"/>
      <c r="F8" s="287"/>
      <c r="G8" s="287"/>
      <c r="H8" s="287"/>
      <c r="I8" s="287"/>
      <c r="J8" s="287"/>
      <c r="K8" s="287"/>
      <c r="L8" s="287"/>
      <c r="M8" s="287"/>
      <c r="N8" s="287"/>
      <c r="O8" s="287"/>
      <c r="P8" s="287"/>
      <c r="Q8" s="287"/>
      <c r="R8" s="287"/>
    </row>
    <row r="10" spans="1:26" x14ac:dyDescent="0.25">
      <c r="C10" s="110" t="s">
        <v>345</v>
      </c>
    </row>
    <row r="12" spans="1:26" x14ac:dyDescent="0.25">
      <c r="B12" s="61" t="s">
        <v>346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349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166.35833363837622</v>
      </c>
      <c r="N22" s="241">
        <f t="shared" si="3"/>
        <v>160.17023716064622</v>
      </c>
      <c r="O22" s="241">
        <f t="shared" si="3"/>
        <v>155.01473999558524</v>
      </c>
      <c r="P22" s="241">
        <f t="shared" si="3"/>
        <v>150.30437875070305</v>
      </c>
      <c r="Q22" s="241">
        <f t="shared" si="3"/>
        <v>145.80727173848211</v>
      </c>
      <c r="R22" s="241">
        <f t="shared" si="3"/>
        <v>141.44471816806669</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350</v>
      </c>
      <c r="G24" s="91" t="s">
        <v>235</v>
      </c>
      <c r="J24" s="184">
        <f>J22*J23</f>
        <v>0</v>
      </c>
      <c r="K24" s="184">
        <f t="shared" ref="K24:R24" si="5">K22*K23</f>
        <v>0</v>
      </c>
      <c r="L24" s="184">
        <f t="shared" si="5"/>
        <v>0</v>
      </c>
      <c r="M24" s="184">
        <f>M22*M23</f>
        <v>4.0355356814601722</v>
      </c>
      <c r="N24" s="184">
        <f t="shared" si="5"/>
        <v>4.7390607069976767</v>
      </c>
      <c r="O24" s="184">
        <f t="shared" si="5"/>
        <v>4.8835352711201345</v>
      </c>
      <c r="P24" s="184">
        <f t="shared" si="5"/>
        <v>4.8097401200226022</v>
      </c>
      <c r="Q24" s="184">
        <f t="shared" si="5"/>
        <v>4.6658326956313996</v>
      </c>
      <c r="R24" s="184">
        <f t="shared" si="5"/>
        <v>4.2433415450419734</v>
      </c>
      <c r="S24" s="92"/>
      <c r="T24" s="92"/>
      <c r="U24" s="92"/>
      <c r="V24" s="92"/>
      <c r="W24" s="92"/>
      <c r="X24" s="92"/>
      <c r="Y24" s="92"/>
      <c r="Z24" s="92"/>
    </row>
    <row r="26" spans="1:16383" s="205" customFormat="1" x14ac:dyDescent="0.25">
      <c r="A26" s="201"/>
      <c r="B26" s="202"/>
      <c r="C26" s="203"/>
      <c r="D26" s="204"/>
      <c r="E26" s="37" t="str">
        <f xml:space="preserve"> InpR!E$97</f>
        <v>Run-off rate - CPI(H) + RPI wedge - active - BR</v>
      </c>
      <c r="F26" s="205">
        <f xml:space="preserve"> InpR!F$97</f>
        <v>0</v>
      </c>
      <c r="G26" s="223" t="str">
        <f xml:space="preserve"> InpR!G$97</f>
        <v>%</v>
      </c>
      <c r="H26" s="205" t="str">
        <f xml:space="preserve"> InpR!I$97</f>
        <v>PR19 Financial model, 'F_OutputsMaster' sheet row 962, PR19FM2099POST</v>
      </c>
      <c r="I26" s="205" t="e">
        <f xml:space="preserve"> InpR!#REF!</f>
        <v>#REF!</v>
      </c>
      <c r="J26" s="205">
        <f xml:space="preserve"> InpR!J$97</f>
        <v>0</v>
      </c>
      <c r="K26" s="205">
        <f xml:space="preserve"> InpR!K$97</f>
        <v>0</v>
      </c>
      <c r="L26" s="205">
        <f xml:space="preserve"> InpR!L$97</f>
        <v>0</v>
      </c>
      <c r="M26" s="205">
        <f xml:space="preserve"> InpR!M$97</f>
        <v>0.06</v>
      </c>
      <c r="N26" s="205">
        <f xml:space="preserve"> InpR!N$97</f>
        <v>0.06</v>
      </c>
      <c r="O26" s="205">
        <f xml:space="preserve"> InpR!O$97</f>
        <v>0.06</v>
      </c>
      <c r="P26" s="205">
        <f xml:space="preserve"> InpR!P$97</f>
        <v>0.06</v>
      </c>
      <c r="Q26" s="205">
        <f xml:space="preserve"> InpR!Q$97</f>
        <v>0.06</v>
      </c>
      <c r="R26" s="205">
        <f xml:space="preserve"> InpR!R$97</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166.35833363837622</v>
      </c>
      <c r="N27" s="241">
        <f t="shared" si="6"/>
        <v>160.17023716064622</v>
      </c>
      <c r="O27" s="241">
        <f t="shared" si="6"/>
        <v>155.01473999558524</v>
      </c>
      <c r="P27" s="241">
        <f t="shared" si="6"/>
        <v>150.30437875070305</v>
      </c>
      <c r="Q27" s="241">
        <f t="shared" si="6"/>
        <v>145.80727173848211</v>
      </c>
      <c r="R27" s="241">
        <f t="shared" si="6"/>
        <v>141.44471816806669</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4.0355356814601722</v>
      </c>
      <c r="N28" s="184">
        <f t="shared" si="7"/>
        <v>4.7390607069976767</v>
      </c>
      <c r="O28" s="184">
        <f t="shared" si="7"/>
        <v>4.8835352711201345</v>
      </c>
      <c r="P28" s="184">
        <f t="shared" si="7"/>
        <v>4.8097401200226022</v>
      </c>
      <c r="Q28" s="184">
        <f t="shared" si="7"/>
        <v>4.6658326956313996</v>
      </c>
      <c r="R28" s="184">
        <f t="shared" si="7"/>
        <v>4.2433415450419734</v>
      </c>
    </row>
    <row r="29" spans="1:16383" x14ac:dyDescent="0.25">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10.223632159190183</v>
      </c>
      <c r="N29" s="184">
        <f t="shared" si="8"/>
        <v>9.8945578720586322</v>
      </c>
      <c r="O29" s="184">
        <f t="shared" si="8"/>
        <v>9.5938965160023226</v>
      </c>
      <c r="P29" s="184">
        <f t="shared" si="8"/>
        <v>9.30684713224354</v>
      </c>
      <c r="Q29" s="184">
        <f t="shared" si="8"/>
        <v>9.0283862660468106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InpR!$E$90</f>
        <v>RCV - CPI(H) + RPI wedge initial balance - nominal - BR</v>
      </c>
      <c r="F31" s="250">
        <f>InpR!$F$90</f>
        <v>166.35833363837622</v>
      </c>
      <c r="G31" s="249" t="str">
        <f>InpR!$G$90</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352</v>
      </c>
      <c r="G34" s="92" t="s">
        <v>235</v>
      </c>
      <c r="J34" s="242">
        <f t="shared" ref="J34:R34" si="9" xml:space="preserve"> I37</f>
        <v>0</v>
      </c>
      <c r="K34" s="242">
        <f t="shared" si="9"/>
        <v>0</v>
      </c>
      <c r="L34" s="242">
        <f t="shared" si="9"/>
        <v>0</v>
      </c>
      <c r="M34" s="242">
        <f t="shared" si="9"/>
        <v>166.35833363837622</v>
      </c>
      <c r="N34" s="242">
        <f t="shared" si="9"/>
        <v>160.17023716064622</v>
      </c>
      <c r="O34" s="242">
        <f t="shared" si="9"/>
        <v>155.01473999558524</v>
      </c>
      <c r="P34" s="242">
        <f t="shared" si="9"/>
        <v>150.30437875070305</v>
      </c>
      <c r="Q34" s="242">
        <f t="shared" si="9"/>
        <v>145.80727173848211</v>
      </c>
      <c r="R34" s="242">
        <f t="shared" si="9"/>
        <v>141.44471816806669</v>
      </c>
    </row>
    <row r="35" spans="1:26" x14ac:dyDescent="0.25">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4.0355356814601722</v>
      </c>
      <c r="N35" s="242">
        <f t="shared" si="10"/>
        <v>4.7390607069976767</v>
      </c>
      <c r="O35" s="242">
        <f t="shared" si="10"/>
        <v>4.8835352711201345</v>
      </c>
      <c r="P35" s="242">
        <f t="shared" si="10"/>
        <v>4.8097401200226022</v>
      </c>
      <c r="Q35" s="242">
        <f t="shared" si="10"/>
        <v>4.6658326956313996</v>
      </c>
      <c r="R35" s="242">
        <f t="shared" si="10"/>
        <v>4.2433415450419734</v>
      </c>
    </row>
    <row r="36" spans="1:26" x14ac:dyDescent="0.25">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10.223632159190183</v>
      </c>
      <c r="N36" s="242">
        <f t="shared" si="11"/>
        <v>9.8945578720586322</v>
      </c>
      <c r="O36" s="242">
        <f t="shared" si="11"/>
        <v>9.5938965160023226</v>
      </c>
      <c r="P36" s="242">
        <f t="shared" si="11"/>
        <v>9.30684713224354</v>
      </c>
      <c r="Q36" s="242">
        <f t="shared" si="11"/>
        <v>9.0283862660468106</v>
      </c>
      <c r="R36" s="242">
        <f t="shared" si="11"/>
        <v>0</v>
      </c>
    </row>
    <row r="37" spans="1:26" s="138" customFormat="1" x14ac:dyDescent="0.25">
      <c r="A37" s="134"/>
      <c r="B37" s="135"/>
      <c r="C37" s="136"/>
      <c r="D37" s="137"/>
      <c r="E37" s="138" t="s">
        <v>355</v>
      </c>
      <c r="G37" s="163" t="s">
        <v>235</v>
      </c>
      <c r="J37" s="243">
        <f t="shared" ref="J37:R37" si="12" xml:space="preserve"> IF( J32 = 1, $F31, J34 + J35 - J36)</f>
        <v>0</v>
      </c>
      <c r="K37" s="243">
        <f t="shared" si="12"/>
        <v>0</v>
      </c>
      <c r="L37" s="243">
        <f t="shared" si="12"/>
        <v>166.35833363837622</v>
      </c>
      <c r="M37" s="243">
        <f t="shared" si="12"/>
        <v>160.17023716064622</v>
      </c>
      <c r="N37" s="243">
        <f t="shared" si="12"/>
        <v>155.01473999558524</v>
      </c>
      <c r="O37" s="243">
        <f t="shared" si="12"/>
        <v>150.30437875070305</v>
      </c>
      <c r="P37" s="243">
        <f t="shared" si="12"/>
        <v>145.80727173848211</v>
      </c>
      <c r="Q37" s="243">
        <f t="shared" si="12"/>
        <v>141.44471816806669</v>
      </c>
      <c r="R37" s="243">
        <f t="shared" si="12"/>
        <v>145.68805971310866</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166.35833363837622</v>
      </c>
      <c r="N39" s="185">
        <f t="shared" si="13"/>
        <v>160.17023716064622</v>
      </c>
      <c r="O39" s="185">
        <f t="shared" si="13"/>
        <v>155.01473999558524</v>
      </c>
      <c r="P39" s="185">
        <f t="shared" si="13"/>
        <v>150.30437875070305</v>
      </c>
      <c r="Q39" s="185">
        <f t="shared" si="13"/>
        <v>145.80727173848211</v>
      </c>
      <c r="R39" s="185">
        <f t="shared" si="13"/>
        <v>141.44471816806669</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4.0355356814601722</v>
      </c>
      <c r="N40" s="242">
        <f t="shared" si="14"/>
        <v>4.7390607069976767</v>
      </c>
      <c r="O40" s="242">
        <f t="shared" si="14"/>
        <v>4.8835352711201345</v>
      </c>
      <c r="P40" s="242">
        <f t="shared" si="14"/>
        <v>4.8097401200226022</v>
      </c>
      <c r="Q40" s="242">
        <f t="shared" si="14"/>
        <v>4.6658326956313996</v>
      </c>
      <c r="R40" s="242">
        <f t="shared" si="14"/>
        <v>4.2433415450419734</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166.35833363837622</v>
      </c>
      <c r="M41" s="185">
        <f t="shared" si="15"/>
        <v>160.17023716064622</v>
      </c>
      <c r="N41" s="185">
        <f t="shared" si="15"/>
        <v>155.01473999558524</v>
      </c>
      <c r="O41" s="185">
        <f t="shared" si="15"/>
        <v>150.30437875070305</v>
      </c>
      <c r="P41" s="185">
        <f t="shared" si="15"/>
        <v>145.80727173848211</v>
      </c>
      <c r="Q41" s="185">
        <f t="shared" si="15"/>
        <v>141.44471816806669</v>
      </c>
      <c r="R41" s="185">
        <f t="shared" si="15"/>
        <v>145.68805971310866</v>
      </c>
    </row>
    <row r="42" spans="1:26" s="92" customFormat="1" x14ac:dyDescent="0.25">
      <c r="A42" s="164"/>
      <c r="B42" s="165"/>
      <c r="C42" s="166"/>
      <c r="D42" s="167"/>
      <c r="E42" s="92" t="s">
        <v>356</v>
      </c>
      <c r="G42" s="92" t="s">
        <v>235</v>
      </c>
      <c r="J42" s="185">
        <f t="shared" ref="J42:L42" si="16" xml:space="preserve"> ( (J39+J40) + J41) / 2</f>
        <v>0</v>
      </c>
      <c r="K42" s="185">
        <f t="shared" si="16"/>
        <v>0</v>
      </c>
      <c r="L42" s="185">
        <f t="shared" si="16"/>
        <v>83.179166819188112</v>
      </c>
      <c r="M42" s="185">
        <f xml:space="preserve"> ( (M39+M40) + M41) / 2</f>
        <v>165.28205324024131</v>
      </c>
      <c r="N42" s="185">
        <f t="shared" ref="N42:R42" si="17" xml:space="preserve"> ( (N39+N40) + N41) / 2</f>
        <v>159.96201893161458</v>
      </c>
      <c r="O42" s="185">
        <f t="shared" si="17"/>
        <v>155.10132700870423</v>
      </c>
      <c r="P42" s="185">
        <f t="shared" si="17"/>
        <v>150.46069530460389</v>
      </c>
      <c r="Q42" s="185">
        <f t="shared" si="17"/>
        <v>145.9589113010901</v>
      </c>
      <c r="R42" s="185">
        <f t="shared" si="17"/>
        <v>145.68805971310866</v>
      </c>
    </row>
    <row r="43" spans="1:26" s="92" customFormat="1" x14ac:dyDescent="0.25">
      <c r="A43" s="164"/>
      <c r="B43" s="165"/>
      <c r="C43" s="166"/>
      <c r="D43" s="167"/>
    </row>
    <row r="44" spans="1:26" x14ac:dyDescent="0.25">
      <c r="B44" s="61" t="s">
        <v>357</v>
      </c>
    </row>
    <row r="45" spans="1:26" s="205" customFormat="1" x14ac:dyDescent="0.25">
      <c r="A45" s="201"/>
      <c r="B45" s="202"/>
      <c r="C45" s="203"/>
      <c r="D45" s="204"/>
      <c r="E45" s="205" t="str">
        <f xml:space="preserve"> InpR!E$104</f>
        <v>WACC on RCV - CPI(H) + RPI wedge bf and additions - BR</v>
      </c>
      <c r="F45" s="205">
        <f xml:space="preserve"> InpR!F$104</f>
        <v>0</v>
      </c>
      <c r="G45" s="223" t="str">
        <f xml:space="preserve"> InpR!G$104</f>
        <v>%</v>
      </c>
      <c r="H45" s="205" t="str">
        <f xml:space="preserve"> InpR!I$104</f>
        <v>PR19 Financial model, 'Bio Resources' sheet row 980</v>
      </c>
      <c r="I45" s="205" t="e">
        <f xml:space="preserve"> InpR!#REF!</f>
        <v>#REF!</v>
      </c>
      <c r="J45" s="205">
        <f xml:space="preserve"> InpR!J$104</f>
        <v>0</v>
      </c>
      <c r="K45" s="205">
        <f xml:space="preserve"> InpR!K$104</f>
        <v>0</v>
      </c>
      <c r="L45" s="205">
        <f xml:space="preserve"> InpR!L$104</f>
        <v>0</v>
      </c>
      <c r="M45" s="205">
        <f xml:space="preserve"> InpR!M$104</f>
        <v>2.2181345335277269E-2</v>
      </c>
      <c r="N45" s="205">
        <f xml:space="preserve"> InpR!N$104</f>
        <v>2.2181345335277269E-2</v>
      </c>
      <c r="O45" s="205">
        <f xml:space="preserve"> InpR!O$104</f>
        <v>2.2181345335277269E-2</v>
      </c>
      <c r="P45" s="205">
        <f xml:space="preserve"> InpR!P$104</f>
        <v>2.2181345335277269E-2</v>
      </c>
      <c r="Q45" s="205">
        <f xml:space="preserve"> InpR!Q$104</f>
        <v>2.2181345335277269E-2</v>
      </c>
      <c r="R45" s="205">
        <f xml:space="preserve"> InpR!R$104</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83.179166819188112</v>
      </c>
      <c r="M47" s="184">
        <f t="shared" si="18"/>
        <v>165.28205324024131</v>
      </c>
      <c r="N47" s="184">
        <f t="shared" si="18"/>
        <v>159.96201893161458</v>
      </c>
      <c r="O47" s="184">
        <f t="shared" si="18"/>
        <v>155.10132700870423</v>
      </c>
      <c r="P47" s="184">
        <f t="shared" si="18"/>
        <v>150.46069530460389</v>
      </c>
      <c r="Q47" s="184">
        <f t="shared" si="18"/>
        <v>145.9589113010901</v>
      </c>
      <c r="R47" s="184">
        <f t="shared" si="18"/>
        <v>145.68805971310866</v>
      </c>
      <c r="S47" s="92"/>
      <c r="T47" s="92"/>
      <c r="U47" s="92"/>
      <c r="V47" s="92"/>
      <c r="W47" s="92"/>
      <c r="X47" s="92"/>
      <c r="Y47" s="92"/>
      <c r="Z47" s="92"/>
    </row>
    <row r="48" spans="1:26" s="91" customFormat="1" x14ac:dyDescent="0.25">
      <c r="A48" s="170"/>
      <c r="B48" s="165"/>
      <c r="C48" s="166"/>
      <c r="D48" s="171"/>
      <c r="E48" s="172" t="s">
        <v>358</v>
      </c>
      <c r="G48" s="91" t="s">
        <v>235</v>
      </c>
      <c r="H48" s="184"/>
      <c r="I48" s="184"/>
      <c r="J48" s="184">
        <f t="shared" ref="J48:K48" si="19">J45*J47*J46</f>
        <v>0</v>
      </c>
      <c r="K48" s="184">
        <f t="shared" si="19"/>
        <v>0</v>
      </c>
      <c r="L48" s="184">
        <f>L45*L47*L46</f>
        <v>0</v>
      </c>
      <c r="M48" s="184">
        <f>M45*M47*M46</f>
        <v>3.666178300645476</v>
      </c>
      <c r="N48" s="184">
        <f t="shared" ref="N48:R48" si="20">N45*N47*N46</f>
        <v>3.5481727824503033</v>
      </c>
      <c r="O48" s="184">
        <f t="shared" si="20"/>
        <v>3.4403560963398361</v>
      </c>
      <c r="P48" s="184">
        <f t="shared" si="20"/>
        <v>3.3374206419373502</v>
      </c>
      <c r="Q48" s="184">
        <f t="shared" si="20"/>
        <v>3.2375650163305836</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359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10.223632159190183</v>
      </c>
      <c r="N51" s="184">
        <f t="shared" si="21"/>
        <v>9.8945578720586322</v>
      </c>
      <c r="O51" s="184">
        <f t="shared" si="21"/>
        <v>9.5938965160023226</v>
      </c>
      <c r="P51" s="184">
        <f t="shared" si="21"/>
        <v>9.30684713224354</v>
      </c>
      <c r="Q51" s="184">
        <f t="shared" si="21"/>
        <v>9.0283862660468106</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3.666178300645476</v>
      </c>
      <c r="N52" s="184">
        <f t="shared" si="22"/>
        <v>3.5481727824503033</v>
      </c>
      <c r="O52" s="184">
        <f t="shared" si="22"/>
        <v>3.4403560963398361</v>
      </c>
      <c r="P52" s="184">
        <f t="shared" si="22"/>
        <v>3.3374206419373502</v>
      </c>
      <c r="Q52" s="184">
        <f t="shared" si="22"/>
        <v>3.2375650163305836</v>
      </c>
      <c r="R52" s="184">
        <f t="shared" si="22"/>
        <v>0</v>
      </c>
      <c r="S52" s="92"/>
      <c r="T52" s="92"/>
      <c r="U52" s="92"/>
      <c r="V52" s="92"/>
      <c r="W52" s="92"/>
      <c r="X52" s="92"/>
      <c r="Y52" s="92"/>
      <c r="Z52" s="92"/>
    </row>
    <row r="53" spans="1:26" s="91" customFormat="1" x14ac:dyDescent="0.25">
      <c r="A53" s="170"/>
      <c r="B53" s="165"/>
      <c r="C53" s="166"/>
      <c r="D53" s="171"/>
      <c r="E53" s="172" t="s">
        <v>360</v>
      </c>
      <c r="G53" s="91" t="str">
        <f xml:space="preserve"> G$48</f>
        <v>£m</v>
      </c>
      <c r="H53" s="184">
        <f>SUM(J53:R53)</f>
        <v>65.277012783245027</v>
      </c>
      <c r="I53" s="184"/>
      <c r="J53" s="184">
        <f t="shared" ref="J53:R53" si="23">SUM(J51:J52)</f>
        <v>0</v>
      </c>
      <c r="K53" s="184">
        <f t="shared" si="23"/>
        <v>0</v>
      </c>
      <c r="L53" s="184">
        <f>SUM(L51:L52)</f>
        <v>0</v>
      </c>
      <c r="M53" s="185">
        <f t="shared" si="23"/>
        <v>13.889810459835658</v>
      </c>
      <c r="N53" s="185">
        <f t="shared" si="23"/>
        <v>13.442730654508935</v>
      </c>
      <c r="O53" s="184">
        <f t="shared" si="23"/>
        <v>13.034252612342158</v>
      </c>
      <c r="P53" s="184">
        <f t="shared" si="23"/>
        <v>12.644267774180889</v>
      </c>
      <c r="Q53" s="184">
        <f t="shared" si="23"/>
        <v>12.265951282377394</v>
      </c>
      <c r="R53" s="184">
        <f t="shared" si="23"/>
        <v>0</v>
      </c>
      <c r="S53" s="92"/>
      <c r="T53" s="92"/>
      <c r="U53" s="92"/>
      <c r="V53" s="92"/>
      <c r="W53" s="92"/>
      <c r="X53" s="92"/>
      <c r="Y53" s="92"/>
      <c r="Z53" s="92"/>
    </row>
    <row r="55" spans="1:26" ht="12.9" x14ac:dyDescent="0.25">
      <c r="A55" s="285" t="s">
        <v>361</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362</v>
      </c>
      <c r="M57" s="177"/>
      <c r="N57" s="177"/>
      <c r="O57" s="177"/>
      <c r="P57" s="177"/>
      <c r="Q57" s="177"/>
    </row>
    <row r="58" spans="1:26" x14ac:dyDescent="0.25">
      <c r="C58" s="110" t="s">
        <v>363</v>
      </c>
      <c r="M58" s="177"/>
      <c r="N58" s="177"/>
      <c r="O58" s="177"/>
      <c r="P58" s="177"/>
      <c r="Q58" s="177"/>
    </row>
    <row r="59" spans="1:26" x14ac:dyDescent="0.25">
      <c r="C59" s="110" t="s">
        <v>364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365</v>
      </c>
      <c r="G61" s="91" t="s">
        <v>235</v>
      </c>
      <c r="J61" s="184">
        <f t="shared" ref="J61:R61" si="24" xml:space="preserve"> J53</f>
        <v>0</v>
      </c>
      <c r="K61" s="184">
        <f t="shared" si="24"/>
        <v>0</v>
      </c>
      <c r="L61" s="184">
        <f t="shared" si="24"/>
        <v>0</v>
      </c>
      <c r="M61" s="184">
        <f t="shared" si="24"/>
        <v>13.889810459835658</v>
      </c>
      <c r="N61" s="184">
        <f t="shared" si="24"/>
        <v>13.442730654508935</v>
      </c>
      <c r="O61" s="184">
        <f t="shared" si="24"/>
        <v>13.034252612342158</v>
      </c>
      <c r="P61" s="184">
        <f t="shared" si="24"/>
        <v>12.644267774180889</v>
      </c>
      <c r="Q61" s="184">
        <f t="shared" si="24"/>
        <v>12.265951282377394</v>
      </c>
      <c r="R61" s="184">
        <f t="shared" si="24"/>
        <v>0</v>
      </c>
      <c r="S61" s="92"/>
      <c r="T61" s="92"/>
      <c r="U61" s="92"/>
      <c r="V61" s="92"/>
      <c r="W61" s="92"/>
      <c r="X61" s="92"/>
      <c r="Y61" s="92"/>
      <c r="Z61" s="92"/>
    </row>
    <row r="62" spans="1:26" x14ac:dyDescent="0.25">
      <c r="L62" s="247"/>
      <c r="M62" s="282"/>
      <c r="N62" s="282"/>
      <c r="O62" s="282"/>
      <c r="P62" s="282"/>
      <c r="Q62" s="282"/>
      <c r="R62" s="247"/>
    </row>
    <row r="63" spans="1:26" ht="12.9" x14ac:dyDescent="0.25">
      <c r="A63" s="285" t="s">
        <v>366</v>
      </c>
      <c r="B63" s="286"/>
      <c r="C63" s="287"/>
      <c r="D63" s="287"/>
      <c r="E63" s="287"/>
      <c r="F63" s="287"/>
      <c r="G63" s="287"/>
      <c r="H63" s="287"/>
      <c r="I63" s="287"/>
      <c r="J63" s="287"/>
      <c r="K63" s="287"/>
      <c r="L63" s="287"/>
      <c r="M63" s="287"/>
      <c r="N63" s="287"/>
      <c r="O63" s="287"/>
      <c r="P63" s="287"/>
      <c r="Q63" s="287"/>
      <c r="R63" s="287"/>
    </row>
    <row r="65" spans="1:16383" x14ac:dyDescent="0.25">
      <c r="C65" s="110" t="s">
        <v>367</v>
      </c>
    </row>
    <row r="67" spans="1:16383" x14ac:dyDescent="0.25">
      <c r="B67" s="61" t="s">
        <v>368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x14ac:dyDescent="0.25">
      <c r="A70" s="173"/>
      <c r="B70" s="174"/>
      <c r="C70" s="175"/>
      <c r="D70" s="176"/>
      <c r="E70" s="172" t="s">
        <v>369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4.2140370430180152E-2</v>
      </c>
      <c r="Q70" s="172">
        <f t="shared" si="26"/>
        <v>3.6767846700548112E-2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166.35833363837622</v>
      </c>
      <c r="N73" s="241">
        <f t="shared" si="27"/>
        <v>159.58402541131295</v>
      </c>
      <c r="O73" s="241">
        <f t="shared" si="27"/>
        <v>156.1693780701105</v>
      </c>
      <c r="P73" s="241">
        <f t="shared" si="27"/>
        <v>155.86397434854004</v>
      </c>
      <c r="Q73" s="241">
        <f t="shared" si="27"/>
        <v>152.68621156644917</v>
      </c>
      <c r="R73" s="241">
        <f t="shared" si="27"/>
        <v>148.80214549941513</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4.2140370430180152E-2</v>
      </c>
      <c r="Q74" s="172">
        <f t="shared" si="28"/>
        <v>3.6767846700548112E-2</v>
      </c>
      <c r="R74" s="172">
        <f t="shared" si="28"/>
        <v>1.999999999999913E-2</v>
      </c>
      <c r="S74" s="177"/>
      <c r="T74" s="177"/>
      <c r="U74" s="177"/>
      <c r="V74" s="177"/>
      <c r="W74" s="177"/>
      <c r="X74" s="177"/>
      <c r="Y74" s="177"/>
      <c r="Z74" s="177"/>
    </row>
    <row r="75" spans="1:16383" x14ac:dyDescent="0.25">
      <c r="E75" s="7" t="s">
        <v>371</v>
      </c>
      <c r="G75" s="162" t="s">
        <v>235</v>
      </c>
      <c r="J75" s="184">
        <f t="shared" ref="J75:L75" si="29">J73*J74</f>
        <v>0</v>
      </c>
      <c r="K75" s="184">
        <f t="shared" si="29"/>
        <v>0</v>
      </c>
      <c r="L75" s="184">
        <f t="shared" si="29"/>
        <v>0</v>
      </c>
      <c r="M75" s="184">
        <f>M73*M74</f>
        <v>3.411906160892868</v>
      </c>
      <c r="N75" s="184">
        <f t="shared" ref="N75:R75" si="30">N73*N74</f>
        <v>6.5536108334854415</v>
      </c>
      <c r="O75" s="184">
        <f t="shared" si="30"/>
        <v>9.6433605985491155</v>
      </c>
      <c r="P75" s="184">
        <f t="shared" si="30"/>
        <v>6.5681656157675743</v>
      </c>
      <c r="Q75" s="184">
        <f t="shared" si="30"/>
        <v>5.6139432201626596</v>
      </c>
      <c r="R75" s="184">
        <f t="shared" si="30"/>
        <v>2.9760429099881733</v>
      </c>
    </row>
    <row r="77" spans="1:16383" s="205" customFormat="1" x14ac:dyDescent="0.25">
      <c r="A77" s="201"/>
      <c r="B77" s="202"/>
      <c r="C77" s="203"/>
      <c r="D77" s="204"/>
      <c r="E77" s="37" t="str">
        <f xml:space="preserve"> InpR!E$97</f>
        <v>Run-off rate - CPI(H) + RPI wedge - active - BR</v>
      </c>
      <c r="F77" s="205">
        <f xml:space="preserve"> InpR!F$97</f>
        <v>0</v>
      </c>
      <c r="G77" s="223" t="str">
        <f xml:space="preserve"> InpR!G$97</f>
        <v>%</v>
      </c>
      <c r="H77" s="205" t="str">
        <f xml:space="preserve"> InpR!I$97</f>
        <v>PR19 Financial model, 'F_OutputsMaster' sheet row 962, PR19FM2099POST</v>
      </c>
      <c r="I77" s="205" t="e">
        <f xml:space="preserve"> InpR!#REF!</f>
        <v>#REF!</v>
      </c>
      <c r="J77" s="205">
        <f xml:space="preserve"> InpR!J$97</f>
        <v>0</v>
      </c>
      <c r="K77" s="205">
        <f xml:space="preserve"> InpR!K$97</f>
        <v>0</v>
      </c>
      <c r="L77" s="205">
        <f xml:space="preserve"> InpR!L$97</f>
        <v>0</v>
      </c>
      <c r="M77" s="205">
        <f xml:space="preserve"> InpR!M$97</f>
        <v>0.06</v>
      </c>
      <c r="N77" s="205">
        <f xml:space="preserve"> InpR!N$97</f>
        <v>0.06</v>
      </c>
      <c r="O77" s="205">
        <f xml:space="preserve"> InpR!O$97</f>
        <v>0.06</v>
      </c>
      <c r="P77" s="205">
        <f xml:space="preserve"> InpR!P$97</f>
        <v>0.06</v>
      </c>
      <c r="Q77" s="205">
        <f xml:space="preserve"> InpR!Q$97</f>
        <v>0.06</v>
      </c>
      <c r="R77" s="205">
        <f xml:space="preserve"> InpR!R$97</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166.35833363837622</v>
      </c>
      <c r="N78" s="241">
        <f t="shared" si="31"/>
        <v>159.58402541131295</v>
      </c>
      <c r="O78" s="241">
        <f t="shared" si="31"/>
        <v>156.1693780701105</v>
      </c>
      <c r="P78" s="241">
        <f t="shared" si="31"/>
        <v>155.86397434854004</v>
      </c>
      <c r="Q78" s="241">
        <f t="shared" si="31"/>
        <v>152.68621156644917</v>
      </c>
      <c r="R78" s="241">
        <f t="shared" si="31"/>
        <v>148.80214549941513</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3.411906160892868</v>
      </c>
      <c r="N79" s="184">
        <f t="shared" si="32"/>
        <v>6.5536108334854415</v>
      </c>
      <c r="O79" s="184">
        <f t="shared" si="32"/>
        <v>9.6433605985491155</v>
      </c>
      <c r="P79" s="184">
        <f t="shared" si="32"/>
        <v>6.5681656157675743</v>
      </c>
      <c r="Q79" s="184">
        <f t="shared" si="32"/>
        <v>5.6139432201626596</v>
      </c>
      <c r="R79" s="184">
        <f t="shared" si="32"/>
        <v>2.9760429099881733</v>
      </c>
    </row>
    <row r="80" spans="1:16383" x14ac:dyDescent="0.25">
      <c r="E80" s="7" t="s">
        <v>372</v>
      </c>
      <c r="F80" s="244"/>
      <c r="G80" s="244" t="s">
        <v>235</v>
      </c>
      <c r="H80" s="244"/>
      <c r="I80" s="244"/>
      <c r="J80" s="184">
        <f t="shared" ref="J80:R80" si="33" xml:space="preserve"> (J78+J79) * J77</f>
        <v>0</v>
      </c>
      <c r="K80" s="184">
        <f t="shared" si="33"/>
        <v>0</v>
      </c>
      <c r="L80" s="184">
        <f t="shared" si="33"/>
        <v>0</v>
      </c>
      <c r="M80" s="184">
        <f t="shared" si="33"/>
        <v>10.186214387956145</v>
      </c>
      <c r="N80" s="184">
        <f xml:space="preserve"> (N78+N79) * N77</f>
        <v>9.968258174687902</v>
      </c>
      <c r="O80" s="184">
        <f t="shared" si="33"/>
        <v>9.9487643201195777</v>
      </c>
      <c r="P80" s="184">
        <f t="shared" si="33"/>
        <v>9.7459283978584565</v>
      </c>
      <c r="Q80" s="184">
        <f t="shared" si="33"/>
        <v>9.4980092871967106</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InpR!$E$90</f>
        <v>RCV - CPI(H) + RPI wedge initial balance - nominal - BR</v>
      </c>
      <c r="F82" s="250">
        <f>InpR!$F$90</f>
        <v>166.35833363837622</v>
      </c>
      <c r="G82" s="249" t="str">
        <f>InpR!$G$90</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373</v>
      </c>
      <c r="G85" s="162" t="s">
        <v>235</v>
      </c>
      <c r="J85" s="242">
        <f t="shared" ref="J85:R85" si="34" xml:space="preserve"> I88</f>
        <v>0</v>
      </c>
      <c r="K85" s="242">
        <f t="shared" si="34"/>
        <v>0</v>
      </c>
      <c r="L85" s="242">
        <f t="shared" si="34"/>
        <v>0</v>
      </c>
      <c r="M85" s="242">
        <f t="shared" si="34"/>
        <v>166.35833363837622</v>
      </c>
      <c r="N85" s="242">
        <f t="shared" si="34"/>
        <v>159.58402541131295</v>
      </c>
      <c r="O85" s="242">
        <f t="shared" si="34"/>
        <v>156.1693780701105</v>
      </c>
      <c r="P85" s="242">
        <f t="shared" si="34"/>
        <v>155.86397434854004</v>
      </c>
      <c r="Q85" s="242">
        <f t="shared" si="34"/>
        <v>152.68621156644917</v>
      </c>
      <c r="R85" s="242">
        <f t="shared" si="34"/>
        <v>148.80214549941513</v>
      </c>
    </row>
    <row r="86" spans="1:18" x14ac:dyDescent="0.25">
      <c r="A86" s="47"/>
      <c r="B86" s="51"/>
      <c r="C86" s="111"/>
      <c r="D86" s="56" t="s">
        <v>353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3.411906160892868</v>
      </c>
      <c r="N86" s="242">
        <f t="shared" si="35"/>
        <v>6.5536108334854415</v>
      </c>
      <c r="O86" s="242">
        <f t="shared" si="35"/>
        <v>9.6433605985491155</v>
      </c>
      <c r="P86" s="242">
        <f t="shared" si="35"/>
        <v>6.5681656157675743</v>
      </c>
      <c r="Q86" s="242">
        <f t="shared" si="35"/>
        <v>5.6139432201626596</v>
      </c>
      <c r="R86" s="242">
        <f t="shared" si="35"/>
        <v>2.9760429099881733</v>
      </c>
    </row>
    <row r="87" spans="1:18" x14ac:dyDescent="0.25">
      <c r="A87" s="47"/>
      <c r="B87" s="51"/>
      <c r="C87" s="111"/>
      <c r="D87" s="56" t="s">
        <v>354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10.186214387956145</v>
      </c>
      <c r="N87" s="242">
        <f t="shared" si="36"/>
        <v>9.968258174687902</v>
      </c>
      <c r="O87" s="242">
        <f t="shared" si="36"/>
        <v>9.9487643201195777</v>
      </c>
      <c r="P87" s="242">
        <f t="shared" si="36"/>
        <v>9.7459283978584565</v>
      </c>
      <c r="Q87" s="242">
        <f t="shared" si="36"/>
        <v>9.4980092871967106</v>
      </c>
      <c r="R87" s="242">
        <f t="shared" si="36"/>
        <v>0</v>
      </c>
    </row>
    <row r="88" spans="1:18" s="138" customFormat="1" x14ac:dyDescent="0.25">
      <c r="A88" s="134"/>
      <c r="B88" s="135"/>
      <c r="C88" s="136"/>
      <c r="D88" s="137"/>
      <c r="E88" s="138" t="s">
        <v>374</v>
      </c>
      <c r="G88" s="163" t="s">
        <v>235</v>
      </c>
      <c r="J88" s="243">
        <f t="shared" ref="J88:R88" si="37" xml:space="preserve"> IF( J83 = 1, $F82, J85 + J86 - J87)</f>
        <v>0</v>
      </c>
      <c r="K88" s="243">
        <f t="shared" si="37"/>
        <v>0</v>
      </c>
      <c r="L88" s="243">
        <f t="shared" si="37"/>
        <v>166.35833363837622</v>
      </c>
      <c r="M88" s="243">
        <f t="shared" si="37"/>
        <v>159.58402541131295</v>
      </c>
      <c r="N88" s="243">
        <f t="shared" si="37"/>
        <v>156.1693780701105</v>
      </c>
      <c r="O88" s="243">
        <f t="shared" si="37"/>
        <v>155.86397434854004</v>
      </c>
      <c r="P88" s="243">
        <f t="shared" si="37"/>
        <v>152.68621156644917</v>
      </c>
      <c r="Q88" s="243">
        <f t="shared" si="37"/>
        <v>148.80214549941513</v>
      </c>
      <c r="R88" s="243">
        <f t="shared" si="37"/>
        <v>151.7781884094033</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166.35833363837622</v>
      </c>
      <c r="N90" s="185">
        <f t="shared" si="38"/>
        <v>159.58402541131295</v>
      </c>
      <c r="O90" s="185">
        <f t="shared" si="38"/>
        <v>156.1693780701105</v>
      </c>
      <c r="P90" s="185">
        <f t="shared" si="38"/>
        <v>155.86397434854004</v>
      </c>
      <c r="Q90" s="185">
        <f t="shared" si="38"/>
        <v>152.68621156644917</v>
      </c>
      <c r="R90" s="185">
        <f t="shared" si="38"/>
        <v>148.80214549941513</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3.411906160892868</v>
      </c>
      <c r="N91" s="242">
        <f t="shared" si="39"/>
        <v>6.5536108334854415</v>
      </c>
      <c r="O91" s="242">
        <f t="shared" si="39"/>
        <v>9.6433605985491155</v>
      </c>
      <c r="P91" s="242">
        <f t="shared" si="39"/>
        <v>6.5681656157675743</v>
      </c>
      <c r="Q91" s="242">
        <f t="shared" si="39"/>
        <v>5.6139432201626596</v>
      </c>
      <c r="R91" s="242">
        <f t="shared" si="39"/>
        <v>2.9760429099881733</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166.35833363837622</v>
      </c>
      <c r="M92" s="185">
        <f t="shared" si="40"/>
        <v>159.58402541131295</v>
      </c>
      <c r="N92" s="185">
        <f t="shared" si="40"/>
        <v>156.1693780701105</v>
      </c>
      <c r="O92" s="185">
        <f t="shared" si="40"/>
        <v>155.86397434854004</v>
      </c>
      <c r="P92" s="185">
        <f t="shared" si="40"/>
        <v>152.68621156644917</v>
      </c>
      <c r="Q92" s="185">
        <f t="shared" si="40"/>
        <v>148.80214549941513</v>
      </c>
      <c r="R92" s="185">
        <f t="shared" si="40"/>
        <v>151.7781884094033</v>
      </c>
    </row>
    <row r="93" spans="1:18" x14ac:dyDescent="0.25">
      <c r="A93" s="49"/>
      <c r="D93" s="57"/>
      <c r="E93" s="7" t="s">
        <v>375</v>
      </c>
      <c r="G93" s="92" t="s">
        <v>235</v>
      </c>
      <c r="H93" s="244"/>
      <c r="I93" s="244"/>
      <c r="J93" s="185">
        <f t="shared" ref="J93:K93" si="41" xml:space="preserve"> ( (J90+J91) + J92) / 2</f>
        <v>0</v>
      </c>
      <c r="K93" s="185">
        <f t="shared" si="41"/>
        <v>0</v>
      </c>
      <c r="L93" s="185">
        <f xml:space="preserve"> ( (L90+L91) + L92) / 2</f>
        <v>83.179166819188112</v>
      </c>
      <c r="M93" s="185">
        <f xml:space="preserve"> ( (M90+M91) + M92) / 2</f>
        <v>164.67713260529104</v>
      </c>
      <c r="N93" s="185">
        <f t="shared" ref="N93:P93" si="42" xml:space="preserve"> ( (N90+N91) + N92) / 2</f>
        <v>161.15350715745444</v>
      </c>
      <c r="O93" s="185">
        <f t="shared" si="42"/>
        <v>160.83835650859982</v>
      </c>
      <c r="P93" s="185">
        <f t="shared" si="42"/>
        <v>157.5591757653784</v>
      </c>
      <c r="Q93" s="185">
        <f xml:space="preserve"> ( (Q90+Q91) + Q92) / 2</f>
        <v>153.5511501430135</v>
      </c>
      <c r="R93" s="185">
        <f t="shared" ref="R93" si="43" xml:space="preserve"> ( (R90+R91) + R92) / 2</f>
        <v>151.7781884094033</v>
      </c>
    </row>
    <row r="94" spans="1:18" x14ac:dyDescent="0.25">
      <c r="A94" s="49"/>
      <c r="D94" s="57"/>
      <c r="J94" s="92"/>
      <c r="K94" s="92"/>
      <c r="L94" s="92"/>
      <c r="M94" s="92"/>
      <c r="N94" s="92"/>
      <c r="O94" s="92"/>
      <c r="P94" s="92"/>
      <c r="Q94" s="92"/>
      <c r="R94" s="92"/>
    </row>
    <row r="95" spans="1:18" x14ac:dyDescent="0.25">
      <c r="B95" s="61" t="s">
        <v>376</v>
      </c>
    </row>
    <row r="96" spans="1:18" s="205" customFormat="1" x14ac:dyDescent="0.25">
      <c r="A96" s="201"/>
      <c r="B96" s="202"/>
      <c r="C96" s="203"/>
      <c r="D96" s="204"/>
      <c r="E96" s="205" t="str">
        <f xml:space="preserve"> InpR!E$104</f>
        <v>WACC on RCV - CPI(H) + RPI wedge bf and additions - BR</v>
      </c>
      <c r="F96" s="205">
        <f xml:space="preserve"> InpR!F$104</f>
        <v>0</v>
      </c>
      <c r="G96" s="223" t="str">
        <f xml:space="preserve"> InpR!G$104</f>
        <v>%</v>
      </c>
      <c r="H96" s="205" t="str">
        <f xml:space="preserve"> InpR!I$104</f>
        <v>PR19 Financial model, 'Bio Resources' sheet row 980</v>
      </c>
      <c r="I96" s="205" t="e">
        <f xml:space="preserve"> InpR!#REF!</f>
        <v>#REF!</v>
      </c>
      <c r="J96" s="205">
        <f xml:space="preserve"> InpR!J$104</f>
        <v>0</v>
      </c>
      <c r="K96" s="205">
        <f xml:space="preserve"> InpR!K$104</f>
        <v>0</v>
      </c>
      <c r="L96" s="205">
        <f xml:space="preserve"> InpR!L$104</f>
        <v>0</v>
      </c>
      <c r="M96" s="205">
        <f xml:space="preserve"> InpR!M$104</f>
        <v>2.2181345335277269E-2</v>
      </c>
      <c r="N96" s="205">
        <f xml:space="preserve"> InpR!N$104</f>
        <v>2.2181345335277269E-2</v>
      </c>
      <c r="O96" s="205">
        <f xml:space="preserve"> InpR!O$104</f>
        <v>2.2181345335277269E-2</v>
      </c>
      <c r="P96" s="205">
        <f xml:space="preserve"> InpR!P$104</f>
        <v>2.2181345335277269E-2</v>
      </c>
      <c r="Q96" s="205">
        <f xml:space="preserve"> InpR!Q$104</f>
        <v>2.2181345335277269E-2</v>
      </c>
      <c r="R96" s="205">
        <f xml:space="preserve"> InpR!R$104</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83.179166819188112</v>
      </c>
      <c r="M98" s="184">
        <f t="shared" si="44"/>
        <v>164.67713260529104</v>
      </c>
      <c r="N98" s="184">
        <f t="shared" si="44"/>
        <v>161.15350715745444</v>
      </c>
      <c r="O98" s="184">
        <f t="shared" si="44"/>
        <v>160.83835650859982</v>
      </c>
      <c r="P98" s="184">
        <f t="shared" si="44"/>
        <v>157.5591757653784</v>
      </c>
      <c r="Q98" s="184">
        <f t="shared" si="44"/>
        <v>153.5511501430135</v>
      </c>
      <c r="R98" s="184">
        <f t="shared" si="44"/>
        <v>151.7781884094033</v>
      </c>
    </row>
    <row r="99" spans="1:26" x14ac:dyDescent="0.25">
      <c r="E99" s="7" t="s">
        <v>377</v>
      </c>
      <c r="F99" s="244"/>
      <c r="G99" s="184" t="s">
        <v>235</v>
      </c>
      <c r="H99" s="244"/>
      <c r="I99" s="244"/>
      <c r="J99" s="244">
        <f t="shared" ref="J99:K99" si="45">J96*J97*J98</f>
        <v>0</v>
      </c>
      <c r="K99" s="244">
        <f t="shared" si="45"/>
        <v>0</v>
      </c>
      <c r="L99" s="244">
        <f>L96*L97*L98</f>
        <v>0</v>
      </c>
      <c r="M99" s="244">
        <f>M96*M97*M98</f>
        <v>3.6527603471412085</v>
      </c>
      <c r="N99" s="244">
        <f t="shared" ref="N99:R99" si="46">N96*N97*N98</f>
        <v>3.574601594250574</v>
      </c>
      <c r="O99" s="244">
        <f t="shared" si="46"/>
        <v>3.5676111288756931</v>
      </c>
      <c r="P99" s="244">
        <f t="shared" si="46"/>
        <v>3.4948744883935077</v>
      </c>
      <c r="Q99" s="244">
        <f t="shared" si="46"/>
        <v>3.4059710879511922</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166.35833363837622</v>
      </c>
      <c r="M102" s="185">
        <f t="shared" si="47"/>
        <v>159.58402541131295</v>
      </c>
      <c r="N102" s="185">
        <f t="shared" si="47"/>
        <v>156.1693780701105</v>
      </c>
      <c r="O102" s="185">
        <f t="shared" si="47"/>
        <v>155.86397434854004</v>
      </c>
      <c r="P102" s="185">
        <f t="shared" si="47"/>
        <v>152.68621156644917</v>
      </c>
      <c r="Q102" s="185">
        <f t="shared" si="47"/>
        <v>148.80214549941513</v>
      </c>
      <c r="R102" s="185">
        <f t="shared" si="47"/>
        <v>151.7781884094033</v>
      </c>
    </row>
    <row r="103" spans="1:26" x14ac:dyDescent="0.25">
      <c r="C103" s="278"/>
      <c r="E103" s="7" t="s">
        <v>378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148.80214549941513</v>
      </c>
      <c r="R103" s="184">
        <f t="shared" si="48"/>
        <v>0</v>
      </c>
    </row>
    <row r="104" spans="1:26" x14ac:dyDescent="0.25">
      <c r="J104" s="91"/>
      <c r="K104" s="91"/>
      <c r="L104" s="91"/>
      <c r="M104" s="91"/>
      <c r="N104" s="91"/>
      <c r="O104" s="91"/>
      <c r="P104" s="91"/>
      <c r="Q104" s="91"/>
      <c r="R104" s="91"/>
    </row>
    <row r="105" spans="1:26" x14ac:dyDescent="0.25">
      <c r="B105" s="61" t="s">
        <v>379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10.186214387956145</v>
      </c>
      <c r="N106" s="184">
        <f t="shared" si="49"/>
        <v>9.968258174687902</v>
      </c>
      <c r="O106" s="184">
        <f t="shared" si="49"/>
        <v>9.9487643201195777</v>
      </c>
      <c r="P106" s="184">
        <f t="shared" si="49"/>
        <v>9.7459283978584565</v>
      </c>
      <c r="Q106" s="184">
        <f t="shared" si="49"/>
        <v>9.4980092871967106</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3.6527603471412085</v>
      </c>
      <c r="N107" s="184">
        <f t="shared" si="50"/>
        <v>3.574601594250574</v>
      </c>
      <c r="O107" s="184">
        <f t="shared" si="50"/>
        <v>3.5676111288756931</v>
      </c>
      <c r="P107" s="184">
        <f t="shared" si="50"/>
        <v>3.4948744883935077</v>
      </c>
      <c r="Q107" s="184">
        <f t="shared" si="50"/>
        <v>3.4059710879511922</v>
      </c>
      <c r="R107" s="184">
        <f t="shared" si="50"/>
        <v>0</v>
      </c>
      <c r="S107" s="92"/>
      <c r="T107" s="92"/>
      <c r="U107" s="92"/>
      <c r="V107" s="92"/>
      <c r="W107" s="92"/>
      <c r="X107" s="92"/>
      <c r="Y107" s="92"/>
      <c r="Z107" s="92"/>
    </row>
    <row r="108" spans="1:26" x14ac:dyDescent="0.25">
      <c r="E108" s="7" t="s">
        <v>380</v>
      </c>
      <c r="F108" s="244"/>
      <c r="G108" s="184" t="str">
        <f t="shared" si="50"/>
        <v>£m</v>
      </c>
      <c r="H108" s="244">
        <f>SUM(J108:R108)</f>
        <v>67.042993214430965</v>
      </c>
      <c r="I108" s="244"/>
      <c r="J108" s="244">
        <f t="shared" ref="J108:R108" si="51">SUM(J106:J107)</f>
        <v>0</v>
      </c>
      <c r="K108" s="244">
        <f t="shared" si="51"/>
        <v>0</v>
      </c>
      <c r="L108" s="244">
        <f t="shared" si="51"/>
        <v>0</v>
      </c>
      <c r="M108" s="244">
        <f t="shared" si="51"/>
        <v>13.838974735097354</v>
      </c>
      <c r="N108" s="244">
        <f t="shared" si="51"/>
        <v>13.542859768938476</v>
      </c>
      <c r="O108" s="244">
        <f t="shared" si="51"/>
        <v>13.516375448995271</v>
      </c>
      <c r="P108" s="244">
        <f t="shared" si="51"/>
        <v>13.240802886251965</v>
      </c>
      <c r="Q108" s="244">
        <f t="shared" si="51"/>
        <v>12.903980375147903</v>
      </c>
      <c r="R108" s="244">
        <f t="shared" si="51"/>
        <v>0</v>
      </c>
    </row>
    <row r="110" spans="1:26" ht="12.9" x14ac:dyDescent="0.25">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13.889810459835658</v>
      </c>
      <c r="N114" s="184">
        <f t="shared" si="52"/>
        <v>13.442730654508935</v>
      </c>
      <c r="O114" s="184">
        <f t="shared" si="52"/>
        <v>13.034252612342158</v>
      </c>
      <c r="P114" s="184">
        <f t="shared" si="52"/>
        <v>12.644267774180889</v>
      </c>
      <c r="Q114" s="184">
        <f t="shared" si="52"/>
        <v>12.265951282377394</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67.042993214430965</v>
      </c>
      <c r="I115" s="184">
        <f t="shared" si="53"/>
        <v>0</v>
      </c>
      <c r="J115" s="184">
        <f t="shared" si="53"/>
        <v>0</v>
      </c>
      <c r="K115" s="184">
        <f t="shared" si="53"/>
        <v>0</v>
      </c>
      <c r="L115" s="184">
        <f t="shared" si="53"/>
        <v>0</v>
      </c>
      <c r="M115" s="184">
        <f t="shared" si="53"/>
        <v>13.838974735097354</v>
      </c>
      <c r="N115" s="184">
        <f t="shared" si="53"/>
        <v>13.542859768938476</v>
      </c>
      <c r="O115" s="184">
        <f t="shared" si="53"/>
        <v>13.516375448995271</v>
      </c>
      <c r="P115" s="184">
        <f t="shared" si="53"/>
        <v>13.240802886251965</v>
      </c>
      <c r="Q115" s="184">
        <f t="shared" si="53"/>
        <v>12.903980375147903</v>
      </c>
      <c r="R115" s="184">
        <f t="shared" si="53"/>
        <v>0</v>
      </c>
    </row>
    <row r="116" spans="1:26" s="184" customFormat="1" x14ac:dyDescent="0.25">
      <c r="A116" s="180"/>
      <c r="B116" s="181"/>
      <c r="C116" s="182"/>
      <c r="D116" s="183"/>
      <c r="E116" s="7" t="s">
        <v>383</v>
      </c>
      <c r="G116" s="184" t="str">
        <f t="shared" ref="G116" si="54" xml:space="preserve"> G$99</f>
        <v>£m</v>
      </c>
      <c r="H116" s="244">
        <f>SUM(J116:R116)</f>
        <v>1.765980431185934</v>
      </c>
      <c r="M116" s="184">
        <f>M115-M114</f>
        <v>-5.0835724738304222E-2</v>
      </c>
      <c r="N116" s="184">
        <f t="shared" ref="N116:Q116" si="55">N115-N114</f>
        <v>0.10012911442954042</v>
      </c>
      <c r="O116" s="184">
        <f t="shared" si="55"/>
        <v>0.4821228366531134</v>
      </c>
      <c r="P116" s="184">
        <f t="shared" si="55"/>
        <v>0.59653511207107535</v>
      </c>
      <c r="Q116" s="184">
        <f t="shared" si="55"/>
        <v>0.63802909277050901</v>
      </c>
      <c r="S116" s="185"/>
      <c r="T116" s="185"/>
      <c r="U116" s="185"/>
      <c r="V116" s="185"/>
      <c r="W116" s="185"/>
      <c r="X116" s="185"/>
      <c r="Y116" s="185"/>
      <c r="Z116" s="185"/>
    </row>
    <row r="118" spans="1:26" ht="12.9" x14ac:dyDescent="0.25">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385</v>
      </c>
    </row>
    <row r="121" spans="1:26" x14ac:dyDescent="0.25">
      <c r="C121" s="110" t="s">
        <v>386</v>
      </c>
    </row>
    <row r="122" spans="1:26" x14ac:dyDescent="0.25">
      <c r="C122" s="110" t="s">
        <v>387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388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166.35833363837622</v>
      </c>
      <c r="N128" s="245">
        <f t="shared" si="58"/>
        <v>160.17023716064622</v>
      </c>
      <c r="O128" s="245">
        <f t="shared" si="58"/>
        <v>155.01473999558524</v>
      </c>
      <c r="P128" s="245">
        <f t="shared" si="58"/>
        <v>150.30437875070305</v>
      </c>
      <c r="Q128" s="245">
        <f t="shared" si="58"/>
        <v>145.80727173848211</v>
      </c>
      <c r="R128" s="245">
        <f t="shared" si="58"/>
        <v>141.44471816806669</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389</v>
      </c>
      <c r="G130" s="91" t="s">
        <v>235</v>
      </c>
      <c r="J130" s="246">
        <f>J128*J129</f>
        <v>0</v>
      </c>
      <c r="K130" s="246">
        <f t="shared" ref="K130:L130" si="60">K128*K129</f>
        <v>0</v>
      </c>
      <c r="L130" s="246">
        <f t="shared" si="60"/>
        <v>0</v>
      </c>
      <c r="M130" s="246">
        <f>M128*M129</f>
        <v>4.0355356814601722</v>
      </c>
      <c r="N130" s="246">
        <f t="shared" ref="N130:R130" si="61">N128*N129</f>
        <v>4.7390607069976767</v>
      </c>
      <c r="O130" s="246">
        <f t="shared" si="61"/>
        <v>4.8835352711201345</v>
      </c>
      <c r="P130" s="246">
        <f t="shared" si="61"/>
        <v>4.8097401200226022</v>
      </c>
      <c r="Q130" s="246">
        <f t="shared" si="61"/>
        <v>4.6658326956313996</v>
      </c>
      <c r="R130" s="246">
        <f t="shared" si="61"/>
        <v>4.2433415450419734</v>
      </c>
    </row>
    <row r="132" spans="1:16383" s="205" customFormat="1" x14ac:dyDescent="0.25">
      <c r="A132" s="201"/>
      <c r="B132" s="202"/>
      <c r="C132" s="203"/>
      <c r="D132" s="204"/>
      <c r="E132" s="37" t="str">
        <f xml:space="preserve"> InpR!E$97</f>
        <v>Run-off rate - CPI(H) + RPI wedge - active - BR</v>
      </c>
      <c r="F132" s="205">
        <f xml:space="preserve"> InpR!F$97</f>
        <v>0</v>
      </c>
      <c r="G132" s="223" t="str">
        <f xml:space="preserve"> InpR!G$97</f>
        <v>%</v>
      </c>
      <c r="H132" s="205" t="str">
        <f xml:space="preserve"> InpR!I$97</f>
        <v>PR19 Financial model, 'F_OutputsMaster' sheet row 962, PR19FM2099POST</v>
      </c>
      <c r="I132" s="205" t="e">
        <f xml:space="preserve"> InpR!#REF!</f>
        <v>#REF!</v>
      </c>
      <c r="J132" s="205">
        <f xml:space="preserve"> InpR!J$97</f>
        <v>0</v>
      </c>
      <c r="K132" s="205">
        <f xml:space="preserve"> InpR!K$97</f>
        <v>0</v>
      </c>
      <c r="L132" s="205">
        <f xml:space="preserve"> InpR!L$97</f>
        <v>0</v>
      </c>
      <c r="M132" s="205">
        <f xml:space="preserve"> InpR!M$97</f>
        <v>0.06</v>
      </c>
      <c r="N132" s="205">
        <f xml:space="preserve"> InpR!N$97</f>
        <v>0.06</v>
      </c>
      <c r="O132" s="205">
        <f xml:space="preserve"> InpR!O$97</f>
        <v>0.06</v>
      </c>
      <c r="P132" s="205">
        <f xml:space="preserve"> InpR!P$97</f>
        <v>0.06</v>
      </c>
      <c r="Q132" s="205">
        <f xml:space="preserve"> InpR!Q$97</f>
        <v>0.06</v>
      </c>
      <c r="R132" s="205">
        <f xml:space="preserve"> InpR!R$97</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166.35833363837622</v>
      </c>
      <c r="N133" s="245">
        <f t="shared" si="62"/>
        <v>160.17023716064622</v>
      </c>
      <c r="O133" s="245">
        <f t="shared" si="62"/>
        <v>155.01473999558524</v>
      </c>
      <c r="P133" s="245">
        <f t="shared" si="62"/>
        <v>150.30437875070305</v>
      </c>
      <c r="Q133" s="245">
        <f t="shared" si="62"/>
        <v>145.80727173848211</v>
      </c>
      <c r="R133" s="245">
        <f t="shared" si="62"/>
        <v>141.44471816806669</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4.0355356814601722</v>
      </c>
      <c r="N134" s="246">
        <f t="shared" si="63"/>
        <v>4.7390607069976767</v>
      </c>
      <c r="O134" s="246">
        <f t="shared" si="63"/>
        <v>4.8835352711201345</v>
      </c>
      <c r="P134" s="246">
        <f t="shared" si="63"/>
        <v>4.8097401200226022</v>
      </c>
      <c r="Q134" s="246">
        <f t="shared" si="63"/>
        <v>4.6658326956313996</v>
      </c>
      <c r="R134" s="246">
        <f t="shared" si="63"/>
        <v>4.2433415450419734</v>
      </c>
      <c r="S134" s="92"/>
      <c r="T134" s="92"/>
      <c r="U134" s="92"/>
      <c r="V134" s="92"/>
      <c r="W134" s="92"/>
      <c r="X134" s="92"/>
      <c r="Y134" s="92"/>
      <c r="Z134" s="92"/>
    </row>
    <row r="135" spans="1:16383" x14ac:dyDescent="0.25">
      <c r="C135" s="278"/>
      <c r="E135" s="7" t="s">
        <v>390</v>
      </c>
      <c r="F135" s="247"/>
      <c r="G135" s="162" t="s">
        <v>235</v>
      </c>
      <c r="H135" s="247"/>
      <c r="I135" s="247"/>
      <c r="J135" s="246">
        <f t="shared" ref="J135:R135" si="64" xml:space="preserve"> (J133+J134) * J132</f>
        <v>0</v>
      </c>
      <c r="K135" s="246">
        <f t="shared" si="64"/>
        <v>0</v>
      </c>
      <c r="L135" s="246">
        <f t="shared" si="64"/>
        <v>0</v>
      </c>
      <c r="M135" s="246">
        <f xml:space="preserve"> (M133+M134) * M132</f>
        <v>10.223632159190183</v>
      </c>
      <c r="N135" s="246">
        <f t="shared" si="64"/>
        <v>9.8945578720586322</v>
      </c>
      <c r="O135" s="246">
        <f t="shared" si="64"/>
        <v>9.5938965160023226</v>
      </c>
      <c r="P135" s="246">
        <f t="shared" si="64"/>
        <v>9.30684713224354</v>
      </c>
      <c r="Q135" s="246">
        <f t="shared" si="64"/>
        <v>9.0283862660468106</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InpR!$E$90</f>
        <v>RCV - CPI(H) + RPI wedge initial balance - nominal - BR</v>
      </c>
      <c r="F137" s="250">
        <f>InpR!$F$90</f>
        <v>166.35833363837622</v>
      </c>
      <c r="G137" s="249" t="str">
        <f>InpR!$G$90</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391</v>
      </c>
      <c r="G140" s="162" t="s">
        <v>235</v>
      </c>
      <c r="J140" s="242">
        <f t="shared" ref="J140:R140" si="65" xml:space="preserve"> I143</f>
        <v>0</v>
      </c>
      <c r="K140" s="242">
        <f t="shared" si="65"/>
        <v>0</v>
      </c>
      <c r="L140" s="242">
        <f t="shared" si="65"/>
        <v>0</v>
      </c>
      <c r="M140" s="242">
        <f t="shared" si="65"/>
        <v>166.35833363837622</v>
      </c>
      <c r="N140" s="242">
        <f t="shared" si="65"/>
        <v>160.17023716064622</v>
      </c>
      <c r="O140" s="242">
        <f t="shared" si="65"/>
        <v>155.01473999558524</v>
      </c>
      <c r="P140" s="242">
        <f t="shared" si="65"/>
        <v>150.30437875070305</v>
      </c>
      <c r="Q140" s="242">
        <f t="shared" si="65"/>
        <v>145.80727173848211</v>
      </c>
      <c r="R140" s="242">
        <f t="shared" si="65"/>
        <v>141.44471816806669</v>
      </c>
    </row>
    <row r="141" spans="1:16383" x14ac:dyDescent="0.25">
      <c r="A141" s="47"/>
      <c r="B141" s="51"/>
      <c r="C141" s="111"/>
      <c r="D141" s="56" t="s">
        <v>353</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4.0355356814601722</v>
      </c>
      <c r="N141" s="242">
        <f t="shared" si="66"/>
        <v>4.7390607069976767</v>
      </c>
      <c r="O141" s="242">
        <f t="shared" si="66"/>
        <v>4.8835352711201345</v>
      </c>
      <c r="P141" s="242">
        <f t="shared" si="66"/>
        <v>4.8097401200226022</v>
      </c>
      <c r="Q141" s="242">
        <f t="shared" si="66"/>
        <v>4.6658326956313996</v>
      </c>
      <c r="R141" s="242">
        <f t="shared" si="66"/>
        <v>4.2433415450419734</v>
      </c>
    </row>
    <row r="142" spans="1:16383" x14ac:dyDescent="0.25">
      <c r="A142" s="47"/>
      <c r="B142" s="51"/>
      <c r="C142" s="111"/>
      <c r="D142" s="56" t="s">
        <v>354</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10.223632159190183</v>
      </c>
      <c r="N142" s="242">
        <f t="shared" si="67"/>
        <v>9.8945578720586322</v>
      </c>
      <c r="O142" s="242">
        <f t="shared" si="67"/>
        <v>9.5938965160023226</v>
      </c>
      <c r="P142" s="242">
        <f t="shared" si="67"/>
        <v>9.30684713224354</v>
      </c>
      <c r="Q142" s="242">
        <f t="shared" si="67"/>
        <v>9.0283862660468106</v>
      </c>
      <c r="R142" s="242">
        <f t="shared" si="67"/>
        <v>0</v>
      </c>
    </row>
    <row r="143" spans="1:16383" s="138" customFormat="1" x14ac:dyDescent="0.25">
      <c r="A143" s="134"/>
      <c r="B143" s="135"/>
      <c r="C143" s="279"/>
      <c r="D143" s="137"/>
      <c r="E143" s="138" t="s">
        <v>392</v>
      </c>
      <c r="G143" s="163" t="s">
        <v>235</v>
      </c>
      <c r="J143" s="243">
        <f t="shared" ref="J143:R143" si="68" xml:space="preserve"> IF( J138 = 1, $F137, J140 + J141 - J142)</f>
        <v>0</v>
      </c>
      <c r="K143" s="243">
        <f t="shared" si="68"/>
        <v>0</v>
      </c>
      <c r="L143" s="243">
        <f t="shared" si="68"/>
        <v>166.35833363837622</v>
      </c>
      <c r="M143" s="243">
        <f t="shared" si="68"/>
        <v>160.17023716064622</v>
      </c>
      <c r="N143" s="243">
        <f t="shared" si="68"/>
        <v>155.01473999558524</v>
      </c>
      <c r="O143" s="243">
        <f t="shared" si="68"/>
        <v>150.30437875070305</v>
      </c>
      <c r="P143" s="243">
        <f t="shared" si="68"/>
        <v>145.80727173848211</v>
      </c>
      <c r="Q143" s="243">
        <f t="shared" si="68"/>
        <v>141.44471816806669</v>
      </c>
      <c r="R143" s="243">
        <f t="shared" si="68"/>
        <v>145.68805971310866</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166.35833363837622</v>
      </c>
      <c r="N145" s="185">
        <f t="shared" si="69"/>
        <v>160.17023716064622</v>
      </c>
      <c r="O145" s="185">
        <f t="shared" si="69"/>
        <v>155.01473999558524</v>
      </c>
      <c r="P145" s="185">
        <f t="shared" si="69"/>
        <v>150.30437875070305</v>
      </c>
      <c r="Q145" s="185">
        <f t="shared" si="69"/>
        <v>145.80727173848211</v>
      </c>
      <c r="R145" s="185">
        <f t="shared" si="69"/>
        <v>141.44471816806669</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4.0355356814601722</v>
      </c>
      <c r="N146" s="184">
        <f t="shared" si="70"/>
        <v>4.7390607069976767</v>
      </c>
      <c r="O146" s="184">
        <f t="shared" si="70"/>
        <v>4.8835352711201345</v>
      </c>
      <c r="P146" s="184">
        <f t="shared" si="70"/>
        <v>4.8097401200226022</v>
      </c>
      <c r="Q146" s="184">
        <f t="shared" si="70"/>
        <v>4.6658326956313996</v>
      </c>
      <c r="R146" s="184">
        <f t="shared" si="70"/>
        <v>4.2433415450419734</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166.35833363837622</v>
      </c>
      <c r="M147" s="185">
        <f t="shared" si="71"/>
        <v>160.17023716064622</v>
      </c>
      <c r="N147" s="185">
        <f t="shared" si="71"/>
        <v>155.01473999558524</v>
      </c>
      <c r="O147" s="185">
        <f t="shared" si="71"/>
        <v>150.30437875070305</v>
      </c>
      <c r="P147" s="185">
        <f t="shared" si="71"/>
        <v>145.80727173848211</v>
      </c>
      <c r="Q147" s="185">
        <f t="shared" si="71"/>
        <v>141.44471816806669</v>
      </c>
      <c r="R147" s="185">
        <f t="shared" si="71"/>
        <v>145.68805971310866</v>
      </c>
    </row>
    <row r="148" spans="1:26" x14ac:dyDescent="0.25">
      <c r="A148" s="49"/>
      <c r="C148" s="278"/>
      <c r="D148" s="57"/>
      <c r="E148" s="7" t="s">
        <v>393</v>
      </c>
      <c r="F148" s="244"/>
      <c r="G148" s="185" t="s">
        <v>235</v>
      </c>
      <c r="H148" s="244"/>
      <c r="I148" s="244"/>
      <c r="J148" s="185">
        <f t="shared" ref="J148:L148" si="72" xml:space="preserve"> ( (J145+J146) + J147) / 2</f>
        <v>0</v>
      </c>
      <c r="K148" s="185">
        <f t="shared" si="72"/>
        <v>0</v>
      </c>
      <c r="L148" s="185">
        <f t="shared" si="72"/>
        <v>83.179166819188112</v>
      </c>
      <c r="M148" s="185">
        <f xml:space="preserve"> ( (M145+M146) + M147) / 2</f>
        <v>165.28205324024131</v>
      </c>
      <c r="N148" s="185">
        <f t="shared" ref="N148:R148" si="73" xml:space="preserve"> ( (N145+N146) + N147) / 2</f>
        <v>159.96201893161458</v>
      </c>
      <c r="O148" s="185">
        <f t="shared" si="73"/>
        <v>155.10132700870423</v>
      </c>
      <c r="P148" s="185">
        <f t="shared" si="73"/>
        <v>150.46069530460389</v>
      </c>
      <c r="Q148" s="185">
        <f t="shared" si="73"/>
        <v>145.9589113010901</v>
      </c>
      <c r="R148" s="185">
        <f t="shared" si="73"/>
        <v>145.68805971310866</v>
      </c>
    </row>
    <row r="150" spans="1:26" s="205" customFormat="1" x14ac:dyDescent="0.25">
      <c r="A150" s="201"/>
      <c r="B150" s="202"/>
      <c r="C150" s="203"/>
      <c r="D150" s="204"/>
      <c r="E150" s="205" t="str">
        <f xml:space="preserve"> InpR!E$104</f>
        <v>WACC on RCV - CPI(H) + RPI wedge bf and additions - BR</v>
      </c>
      <c r="F150" s="205">
        <f xml:space="preserve"> InpR!F$104</f>
        <v>0</v>
      </c>
      <c r="G150" s="223" t="str">
        <f xml:space="preserve"> InpR!G$104</f>
        <v>%</v>
      </c>
      <c r="H150" s="205" t="str">
        <f xml:space="preserve"> InpR!I$104</f>
        <v>PR19 Financial model, 'Bio Resources' sheet row 980</v>
      </c>
      <c r="I150" s="205" t="e">
        <f xml:space="preserve"> InpR!#REF!</f>
        <v>#REF!</v>
      </c>
      <c r="J150" s="205">
        <f xml:space="preserve"> InpR!J$104</f>
        <v>0</v>
      </c>
      <c r="K150" s="205">
        <f xml:space="preserve"> InpR!K$104</f>
        <v>0</v>
      </c>
      <c r="L150" s="205">
        <f xml:space="preserve"> InpR!L$104</f>
        <v>0</v>
      </c>
      <c r="M150" s="205">
        <f xml:space="preserve"> InpR!M$104</f>
        <v>2.2181345335277269E-2</v>
      </c>
      <c r="N150" s="205">
        <f xml:space="preserve"> InpR!N$104</f>
        <v>2.2181345335277269E-2</v>
      </c>
      <c r="O150" s="205">
        <f xml:space="preserve"> InpR!O$104</f>
        <v>2.2181345335277269E-2</v>
      </c>
      <c r="P150" s="205">
        <f xml:space="preserve"> InpR!P$104</f>
        <v>2.2181345335277269E-2</v>
      </c>
      <c r="Q150" s="205">
        <f xml:space="preserve"> InpR!Q$104</f>
        <v>2.2181345335277269E-2</v>
      </c>
      <c r="R150" s="205">
        <f xml:space="preserve"> InpR!R$104</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83.179166819188112</v>
      </c>
      <c r="M152" s="246">
        <f t="shared" si="74"/>
        <v>165.28205324024131</v>
      </c>
      <c r="N152" s="246">
        <f t="shared" si="74"/>
        <v>159.96201893161458</v>
      </c>
      <c r="O152" s="246">
        <f t="shared" si="74"/>
        <v>155.10132700870423</v>
      </c>
      <c r="P152" s="246">
        <f t="shared" si="74"/>
        <v>150.46069530460389</v>
      </c>
      <c r="Q152" s="246">
        <f t="shared" si="74"/>
        <v>145.9589113010901</v>
      </c>
      <c r="R152" s="246">
        <f t="shared" si="74"/>
        <v>145.68805971310866</v>
      </c>
    </row>
    <row r="153" spans="1:26" x14ac:dyDescent="0.25">
      <c r="C153" s="278"/>
      <c r="E153" s="7" t="s">
        <v>394</v>
      </c>
      <c r="F153" s="244"/>
      <c r="G153" s="184" t="s">
        <v>235</v>
      </c>
      <c r="H153" s="244"/>
      <c r="I153" s="244"/>
      <c r="J153" s="246">
        <f t="shared" ref="J153:K153" si="75">J150*J151*J152</f>
        <v>0</v>
      </c>
      <c r="K153" s="246">
        <f t="shared" si="75"/>
        <v>0</v>
      </c>
      <c r="L153" s="246">
        <f>L150*L151*L152</f>
        <v>0</v>
      </c>
      <c r="M153" s="246">
        <f t="shared" ref="M153:R153" si="76">M150*M151*M152</f>
        <v>3.666178300645476</v>
      </c>
      <c r="N153" s="246">
        <f t="shared" si="76"/>
        <v>3.5481727824503033</v>
      </c>
      <c r="O153" s="246">
        <f t="shared" si="76"/>
        <v>3.4403560963398361</v>
      </c>
      <c r="P153" s="246">
        <f t="shared" si="76"/>
        <v>3.3374206419373502</v>
      </c>
      <c r="Q153" s="246">
        <f t="shared" si="76"/>
        <v>3.2375650163305836</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10.223632159190183</v>
      </c>
      <c r="N155" s="184">
        <f t="shared" si="77"/>
        <v>9.8945578720586322</v>
      </c>
      <c r="O155" s="184">
        <f t="shared" si="77"/>
        <v>9.5938965160023226</v>
      </c>
      <c r="P155" s="184">
        <f t="shared" si="77"/>
        <v>9.30684713224354</v>
      </c>
      <c r="Q155" s="184">
        <f t="shared" si="77"/>
        <v>9.0283862660468106</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3.666178300645476</v>
      </c>
      <c r="N156" s="184">
        <f t="shared" si="78"/>
        <v>3.5481727824503033</v>
      </c>
      <c r="O156" s="184">
        <f t="shared" si="78"/>
        <v>3.4403560963398361</v>
      </c>
      <c r="P156" s="184">
        <f t="shared" si="78"/>
        <v>3.3374206419373502</v>
      </c>
      <c r="Q156" s="184">
        <f t="shared" si="78"/>
        <v>3.2375650163305836</v>
      </c>
      <c r="R156" s="184">
        <f t="shared" si="78"/>
        <v>0</v>
      </c>
    </row>
    <row r="157" spans="1:26" x14ac:dyDescent="0.25">
      <c r="C157" s="278"/>
      <c r="E157" s="7" t="s">
        <v>395</v>
      </c>
      <c r="F157" s="244"/>
      <c r="G157" s="184" t="str">
        <f t="shared" ref="G157" si="79">G$155</f>
        <v>£m</v>
      </c>
      <c r="H157" s="244">
        <f>SUM(J157:R157)</f>
        <v>65.277012783245027</v>
      </c>
      <c r="I157" s="244"/>
      <c r="J157" s="244">
        <f t="shared" ref="J157:R157" si="80">SUM(J155:J156)</f>
        <v>0</v>
      </c>
      <c r="K157" s="244">
        <f t="shared" si="80"/>
        <v>0</v>
      </c>
      <c r="L157" s="244">
        <f>SUM(L155:L156)</f>
        <v>0</v>
      </c>
      <c r="M157" s="244">
        <f t="shared" si="80"/>
        <v>13.889810459835658</v>
      </c>
      <c r="N157" s="244">
        <f t="shared" si="80"/>
        <v>13.442730654508935</v>
      </c>
      <c r="O157" s="244">
        <f t="shared" si="80"/>
        <v>13.034252612342158</v>
      </c>
      <c r="P157" s="244">
        <f t="shared" si="80"/>
        <v>12.644267774180889</v>
      </c>
      <c r="Q157" s="244">
        <f t="shared" si="80"/>
        <v>12.265951282377394</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65.277012783245027</v>
      </c>
      <c r="I159" s="184">
        <f t="shared" si="81"/>
        <v>0</v>
      </c>
      <c r="J159" s="184">
        <f t="shared" si="81"/>
        <v>0</v>
      </c>
      <c r="K159" s="184">
        <f t="shared" si="81"/>
        <v>0</v>
      </c>
      <c r="L159" s="184">
        <f t="shared" si="81"/>
        <v>0</v>
      </c>
      <c r="M159" s="184">
        <f t="shared" si="81"/>
        <v>13.889810459835658</v>
      </c>
      <c r="N159" s="184">
        <f t="shared" si="81"/>
        <v>13.442730654508935</v>
      </c>
      <c r="O159" s="184">
        <f t="shared" si="81"/>
        <v>13.034252612342158</v>
      </c>
      <c r="P159" s="184">
        <f t="shared" si="81"/>
        <v>12.644267774180889</v>
      </c>
      <c r="Q159" s="184">
        <f t="shared" si="81"/>
        <v>12.265951282377394</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67.042993214430965</v>
      </c>
      <c r="I160" s="184">
        <f t="shared" si="82"/>
        <v>0</v>
      </c>
      <c r="J160" s="184">
        <f t="shared" si="82"/>
        <v>0</v>
      </c>
      <c r="K160" s="184">
        <f t="shared" si="82"/>
        <v>0</v>
      </c>
      <c r="L160" s="184">
        <f t="shared" si="82"/>
        <v>0</v>
      </c>
      <c r="M160" s="184">
        <f t="shared" si="82"/>
        <v>13.838974735097354</v>
      </c>
      <c r="N160" s="184">
        <f t="shared" si="82"/>
        <v>13.542859768938476</v>
      </c>
      <c r="O160" s="184">
        <f t="shared" si="82"/>
        <v>13.516375448995271</v>
      </c>
      <c r="P160" s="184">
        <f t="shared" si="82"/>
        <v>13.240802886251965</v>
      </c>
      <c r="Q160" s="184">
        <f t="shared" si="82"/>
        <v>12.903980375147903</v>
      </c>
      <c r="R160" s="184">
        <f t="shared" si="82"/>
        <v>0</v>
      </c>
    </row>
    <row r="161" spans="1:16383" s="185" customFormat="1" x14ac:dyDescent="0.25">
      <c r="A161" s="252"/>
      <c r="B161" s="181"/>
      <c r="C161" s="182"/>
      <c r="D161" s="253"/>
      <c r="E161" s="7" t="s">
        <v>396</v>
      </c>
      <c r="G161" s="185" t="str">
        <f t="shared" ref="G161" si="83" xml:space="preserve"> G$153</f>
        <v>£m</v>
      </c>
      <c r="H161" s="185">
        <f xml:space="preserve"> SUM(J161:R161)</f>
        <v>1.765980431185934</v>
      </c>
      <c r="J161" s="185">
        <f t="shared" ref="J161:K161" si="84">J160-J159</f>
        <v>0</v>
      </c>
      <c r="K161" s="185">
        <f t="shared" si="84"/>
        <v>0</v>
      </c>
      <c r="L161" s="185">
        <f>L160-L159</f>
        <v>0</v>
      </c>
      <c r="M161" s="185">
        <f>M160-M159</f>
        <v>-5.0835724738304222E-2</v>
      </c>
      <c r="N161" s="185">
        <f t="shared" ref="N161:R161" si="85">N160-N159</f>
        <v>0.10012911442954042</v>
      </c>
      <c r="O161" s="185">
        <f t="shared" si="85"/>
        <v>0.4821228366531134</v>
      </c>
      <c r="P161" s="185">
        <f t="shared" si="85"/>
        <v>0.59653511207107535</v>
      </c>
      <c r="Q161" s="185">
        <f t="shared" si="85"/>
        <v>0.63802909277050901</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1.765980431185934</v>
      </c>
      <c r="I163" s="248">
        <f t="shared" si="86"/>
        <v>0</v>
      </c>
      <c r="J163" s="248">
        <f t="shared" si="86"/>
        <v>0</v>
      </c>
      <c r="K163" s="248">
        <f t="shared" si="86"/>
        <v>0</v>
      </c>
      <c r="L163" s="248">
        <f t="shared" si="86"/>
        <v>0</v>
      </c>
      <c r="M163" s="248">
        <f t="shared" si="86"/>
        <v>-5.0835724738304222E-2</v>
      </c>
      <c r="N163" s="248">
        <f t="shared" si="86"/>
        <v>0.10012911442954042</v>
      </c>
      <c r="O163" s="248">
        <f t="shared" si="86"/>
        <v>0.4821228366531134</v>
      </c>
      <c r="P163" s="248">
        <f t="shared" si="86"/>
        <v>0.59653511207107535</v>
      </c>
      <c r="Q163" s="248">
        <f t="shared" si="86"/>
        <v>0.63802909277050901</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1.765980431185934</v>
      </c>
      <c r="I164" s="248">
        <f t="shared" si="87"/>
        <v>0</v>
      </c>
      <c r="J164" s="248">
        <f t="shared" si="87"/>
        <v>0</v>
      </c>
      <c r="K164" s="248">
        <f t="shared" si="87"/>
        <v>0</v>
      </c>
      <c r="L164" s="248">
        <f t="shared" si="87"/>
        <v>0</v>
      </c>
      <c r="M164" s="248">
        <f t="shared" si="87"/>
        <v>-5.0835724738304222E-2</v>
      </c>
      <c r="N164" s="248">
        <f t="shared" si="87"/>
        <v>0.10012911442954042</v>
      </c>
      <c r="O164" s="248">
        <f t="shared" si="87"/>
        <v>0.4821228366531134</v>
      </c>
      <c r="P164" s="248">
        <f t="shared" si="87"/>
        <v>0.59653511207107535</v>
      </c>
      <c r="Q164" s="248">
        <f t="shared" si="87"/>
        <v>0.63802909277050901</v>
      </c>
      <c r="R164" s="248">
        <f t="shared" si="87"/>
        <v>0</v>
      </c>
      <c r="S164" s="92"/>
      <c r="T164" s="92"/>
      <c r="U164" s="92"/>
      <c r="V164" s="92"/>
      <c r="W164" s="92"/>
      <c r="X164" s="92"/>
      <c r="Y164" s="92"/>
      <c r="Z164" s="92"/>
    </row>
    <row r="165" spans="1:16383" s="211" customFormat="1" x14ac:dyDescent="0.25">
      <c r="A165" s="224"/>
      <c r="B165" s="208"/>
      <c r="C165" s="209"/>
      <c r="D165" s="210"/>
      <c r="E165" s="7" t="s">
        <v>397</v>
      </c>
      <c r="F165" s="225">
        <f>SUM(J165:R165)</f>
        <v>0</v>
      </c>
      <c r="G165" s="211" t="s">
        <v>317</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398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83.179166819188112</v>
      </c>
      <c r="M169" s="185">
        <f t="shared" si="90"/>
        <v>165.28205324024131</v>
      </c>
      <c r="N169" s="184">
        <f t="shared" si="90"/>
        <v>159.96201893161458</v>
      </c>
      <c r="O169" s="184">
        <f t="shared" si="90"/>
        <v>155.10132700870423</v>
      </c>
      <c r="P169" s="184">
        <f t="shared" si="90"/>
        <v>150.46069530460389</v>
      </c>
      <c r="Q169" s="184">
        <f t="shared" si="90"/>
        <v>145.9589113010901</v>
      </c>
      <c r="R169" s="184">
        <f t="shared" si="90"/>
        <v>145.68805971310866</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83.179166819188112</v>
      </c>
      <c r="M170" s="185">
        <f t="shared" si="91"/>
        <v>164.67713260529104</v>
      </c>
      <c r="N170" s="184">
        <f t="shared" si="91"/>
        <v>161.15350715745444</v>
      </c>
      <c r="O170" s="184">
        <f t="shared" si="91"/>
        <v>160.83835650859982</v>
      </c>
      <c r="P170" s="184">
        <f t="shared" si="91"/>
        <v>157.5591757653784</v>
      </c>
      <c r="Q170" s="184">
        <f t="shared" si="91"/>
        <v>153.5511501430135</v>
      </c>
      <c r="R170" s="184">
        <f t="shared" si="91"/>
        <v>151.7781884094033</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79.856887120785245</v>
      </c>
      <c r="M172" s="184">
        <f t="shared" si="92"/>
        <v>155.59447689707403</v>
      </c>
      <c r="N172" s="184">
        <f t="shared" si="92"/>
        <v>147.62751437059683</v>
      </c>
      <c r="O172" s="184">
        <f t="shared" si="92"/>
        <v>140.23164322561334</v>
      </c>
      <c r="P172" s="184">
        <f t="shared" si="92"/>
        <v>133.23791621968954</v>
      </c>
      <c r="Q172" s="184">
        <f t="shared" si="92"/>
        <v>126.59298507972204</v>
      </c>
      <c r="R172" s="184">
        <f t="shared" si="92"/>
        <v>123.88046104122394</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79.856887120785245</v>
      </c>
      <c r="M173" s="184">
        <f t="shared" si="92"/>
        <v>155.02501210695237</v>
      </c>
      <c r="N173" s="184">
        <f t="shared" si="92"/>
        <v>148.72712818115875</v>
      </c>
      <c r="O173" s="184">
        <f t="shared" si="92"/>
        <v>145.41865928485717</v>
      </c>
      <c r="P173" s="184">
        <f t="shared" si="92"/>
        <v>139.52385516876228</v>
      </c>
      <c r="Q173" s="184">
        <f t="shared" si="92"/>
        <v>133.17788058126939</v>
      </c>
      <c r="R173" s="184">
        <f t="shared" si="92"/>
        <v>129.05897705813734</v>
      </c>
      <c r="S173" s="92"/>
      <c r="T173" s="92"/>
      <c r="U173" s="92"/>
      <c r="V173" s="92"/>
      <c r="W173" s="92"/>
      <c r="X173" s="92"/>
      <c r="Y173" s="92"/>
      <c r="Z173" s="92"/>
    </row>
    <row r="174" spans="1:16383" s="91" customFormat="1" x14ac:dyDescent="0.25">
      <c r="A174" s="170"/>
      <c r="B174" s="165"/>
      <c r="C174" s="166"/>
      <c r="D174" s="171"/>
      <c r="E174" s="7" t="s">
        <v>399</v>
      </c>
      <c r="F174" s="184"/>
      <c r="G174" s="184" t="s">
        <v>235</v>
      </c>
      <c r="H174" s="244"/>
      <c r="I174" s="184"/>
      <c r="J174" s="185">
        <f>J173-J172</f>
        <v>0</v>
      </c>
      <c r="K174" s="185">
        <f t="shared" ref="K174:R174" si="93">K173-K172</f>
        <v>0</v>
      </c>
      <c r="L174" s="185">
        <f t="shared" si="93"/>
        <v>0</v>
      </c>
      <c r="M174" s="185">
        <f t="shared" si="93"/>
        <v>-0.56946479012165696</v>
      </c>
      <c r="N174" s="185">
        <f t="shared" si="93"/>
        <v>1.0996138105619195</v>
      </c>
      <c r="O174" s="185">
        <f t="shared" si="93"/>
        <v>5.187016059243831</v>
      </c>
      <c r="P174" s="185">
        <f t="shared" si="93"/>
        <v>6.2859389490727438</v>
      </c>
      <c r="Q174" s="185">
        <f t="shared" si="93"/>
        <v>6.5848955015473507</v>
      </c>
      <c r="R174" s="185">
        <f t="shared" si="93"/>
        <v>5.1785160169134059</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-0.56946479012165696</v>
      </c>
      <c r="N176" s="185">
        <f t="shared" si="94"/>
        <v>1.0996138105619195</v>
      </c>
      <c r="O176" s="185">
        <f t="shared" si="94"/>
        <v>5.187016059243831</v>
      </c>
      <c r="P176" s="185">
        <f t="shared" si="94"/>
        <v>6.2859389490727438</v>
      </c>
      <c r="Q176" s="185">
        <f t="shared" si="94"/>
        <v>6.5848955015473507</v>
      </c>
      <c r="R176" s="185">
        <f t="shared" si="94"/>
        <v>5.1785160169134059</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418</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6.5848955015473507</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401</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10.223632159190183</v>
      </c>
      <c r="N182" s="184">
        <f t="shared" si="96"/>
        <v>9.8945578720586322</v>
      </c>
      <c r="O182" s="184">
        <f t="shared" si="96"/>
        <v>9.5938965160023226</v>
      </c>
      <c r="P182" s="184">
        <f t="shared" si="96"/>
        <v>9.30684713224354</v>
      </c>
      <c r="Q182" s="184">
        <f t="shared" si="96"/>
        <v>9.0283862660468106</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3.666178300645476</v>
      </c>
      <c r="N183" s="184">
        <f t="shared" si="97"/>
        <v>3.5481727824503033</v>
      </c>
      <c r="O183" s="184">
        <f t="shared" si="97"/>
        <v>3.4403560963398361</v>
      </c>
      <c r="P183" s="184">
        <f t="shared" si="97"/>
        <v>3.3374206419373502</v>
      </c>
      <c r="Q183" s="184">
        <f t="shared" si="97"/>
        <v>3.2375650163305836</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65.277012783245027</v>
      </c>
      <c r="I184" s="184">
        <f t="shared" si="98"/>
        <v>0</v>
      </c>
      <c r="J184" s="184">
        <f t="shared" si="98"/>
        <v>0</v>
      </c>
      <c r="K184" s="184">
        <f t="shared" si="98"/>
        <v>0</v>
      </c>
      <c r="L184" s="184">
        <f t="shared" si="98"/>
        <v>0</v>
      </c>
      <c r="M184" s="184">
        <f t="shared" si="98"/>
        <v>13.889810459835658</v>
      </c>
      <c r="N184" s="184">
        <f t="shared" si="98"/>
        <v>13.442730654508935</v>
      </c>
      <c r="O184" s="184">
        <f t="shared" si="98"/>
        <v>13.034252612342158</v>
      </c>
      <c r="P184" s="184">
        <f t="shared" si="98"/>
        <v>12.644267774180889</v>
      </c>
      <c r="Q184" s="184">
        <f t="shared" si="98"/>
        <v>12.265951282377394</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10.186214387956145</v>
      </c>
      <c r="N185" s="184">
        <f t="shared" si="99"/>
        <v>9.968258174687902</v>
      </c>
      <c r="O185" s="184">
        <f t="shared" si="99"/>
        <v>9.9487643201195777</v>
      </c>
      <c r="P185" s="184">
        <f t="shared" si="99"/>
        <v>9.7459283978584565</v>
      </c>
      <c r="Q185" s="184">
        <f t="shared" si="99"/>
        <v>9.4980092871967106</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3.6527603471412085</v>
      </c>
      <c r="N186" s="184">
        <f t="shared" si="100"/>
        <v>3.574601594250574</v>
      </c>
      <c r="O186" s="184">
        <f t="shared" si="100"/>
        <v>3.5676111288756931</v>
      </c>
      <c r="P186" s="184">
        <f t="shared" si="100"/>
        <v>3.4948744883935077</v>
      </c>
      <c r="Q186" s="184">
        <f t="shared" si="100"/>
        <v>3.4059710879511922</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67.042993214430965</v>
      </c>
      <c r="I187" s="184">
        <f t="shared" si="101"/>
        <v>0</v>
      </c>
      <c r="J187" s="184">
        <f t="shared" si="101"/>
        <v>0</v>
      </c>
      <c r="K187" s="184">
        <f t="shared" si="101"/>
        <v>0</v>
      </c>
      <c r="L187" s="184">
        <f t="shared" si="101"/>
        <v>0</v>
      </c>
      <c r="M187" s="184">
        <f t="shared" si="101"/>
        <v>13.838974735097354</v>
      </c>
      <c r="N187" s="184">
        <f t="shared" si="101"/>
        <v>13.542859768938476</v>
      </c>
      <c r="O187" s="184">
        <f t="shared" si="101"/>
        <v>13.516375448995271</v>
      </c>
      <c r="P187" s="184">
        <f t="shared" si="101"/>
        <v>13.240802886251965</v>
      </c>
      <c r="Q187" s="184">
        <f t="shared" si="101"/>
        <v>12.903980375147903</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43.502136234599746</v>
      </c>
      <c r="I189" s="184"/>
      <c r="J189" s="184">
        <f t="shared" ref="J189:R194" si="105" xml:space="preserve"> IF(J$188 = 0, 0, J182 / J$188)</f>
        <v>0</v>
      </c>
      <c r="K189" s="184">
        <f t="shared" si="105"/>
        <v>0</v>
      </c>
      <c r="L189" s="184">
        <f t="shared" si="105"/>
        <v>0</v>
      </c>
      <c r="M189" s="185">
        <f t="shared" si="105"/>
        <v>9.6244006328087028</v>
      </c>
      <c r="N189" s="184">
        <f t="shared" si="105"/>
        <v>9.1315988270472257</v>
      </c>
      <c r="O189" s="184">
        <f t="shared" si="105"/>
        <v>8.6741222613781446</v>
      </c>
      <c r="P189" s="184">
        <f t="shared" si="105"/>
        <v>8.2415205909086318</v>
      </c>
      <c r="Q189" s="184">
        <f t="shared" si="105"/>
        <v>7.830493922457034</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15.599797157377953</v>
      </c>
      <c r="I190" s="184"/>
      <c r="J190" s="184">
        <f t="shared" si="105"/>
        <v>0</v>
      </c>
      <c r="K190" s="184">
        <f t="shared" si="105"/>
        <v>0</v>
      </c>
      <c r="L190" s="184">
        <f t="shared" si="105"/>
        <v>0</v>
      </c>
      <c r="M190" s="185">
        <f t="shared" si="105"/>
        <v>3.4512948243158204</v>
      </c>
      <c r="N190" s="184">
        <f xml:space="preserve"> IF(N$188 = 0, 0, N183 / N$188)</f>
        <v>3.2745768772428159</v>
      </c>
      <c r="O190" s="184">
        <f t="shared" si="105"/>
        <v>3.1105265053207249</v>
      </c>
      <c r="P190" s="184">
        <f t="shared" si="105"/>
        <v>2.9553962314216742</v>
      </c>
      <c r="Q190" s="184">
        <f t="shared" si="105"/>
        <v>2.8080027190769177</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59.101933391977681</v>
      </c>
      <c r="I191" s="184"/>
      <c r="J191" s="184">
        <f t="shared" si="105"/>
        <v>0</v>
      </c>
      <c r="K191" s="184">
        <f t="shared" si="105"/>
        <v>0</v>
      </c>
      <c r="L191" s="184">
        <f t="shared" si="105"/>
        <v>0</v>
      </c>
      <c r="M191" s="185">
        <f t="shared" si="105"/>
        <v>13.075695457124523</v>
      </c>
      <c r="N191" s="184">
        <f t="shared" si="105"/>
        <v>12.406175704290041</v>
      </c>
      <c r="O191" s="184">
        <f t="shared" si="105"/>
        <v>11.784648766698869</v>
      </c>
      <c r="P191" s="184">
        <f t="shared" si="105"/>
        <v>11.196916822330305</v>
      </c>
      <c r="Q191" s="184">
        <f t="shared" si="105"/>
        <v>10.638496641533951</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44.651909401422671</v>
      </c>
      <c r="I192" s="184"/>
      <c r="J192" s="184">
        <f t="shared" si="105"/>
        <v>0</v>
      </c>
      <c r="K192" s="184">
        <f t="shared" si="105"/>
        <v>0</v>
      </c>
      <c r="L192" s="184">
        <f t="shared" si="105"/>
        <v>0</v>
      </c>
      <c r="M192" s="185">
        <f t="shared" si="105"/>
        <v>9.5891760066156095</v>
      </c>
      <c r="N192" s="184">
        <f t="shared" si="105"/>
        <v>9.199616176154148</v>
      </c>
      <c r="O192" s="184">
        <f t="shared" si="105"/>
        <v>8.9949686155581769</v>
      </c>
      <c r="P192" s="184">
        <f t="shared" si="105"/>
        <v>8.6303415568306558</v>
      </c>
      <c r="Q192" s="184">
        <f t="shared" si="105"/>
        <v>8.2378070462640842</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16.012103994051596</v>
      </c>
      <c r="I193" s="184"/>
      <c r="J193" s="184">
        <f t="shared" si="105"/>
        <v>0</v>
      </c>
      <c r="K193" s="184">
        <f t="shared" si="105"/>
        <v>0</v>
      </c>
      <c r="L193" s="184">
        <f t="shared" si="105"/>
        <v>0</v>
      </c>
      <c r="M193" s="185">
        <f t="shared" si="105"/>
        <v>3.4386633291498496</v>
      </c>
      <c r="N193" s="184">
        <f t="shared" si="105"/>
        <v>3.2989677909103299</v>
      </c>
      <c r="O193" s="184">
        <f t="shared" si="105"/>
        <v>3.2255814997904411</v>
      </c>
      <c r="P193" s="184">
        <f t="shared" si="105"/>
        <v>3.0948268140075266</v>
      </c>
      <c r="Q193" s="184">
        <f t="shared" si="105"/>
        <v>2.9540645601934528</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60.664013395474278</v>
      </c>
      <c r="I194" s="184"/>
      <c r="J194" s="184">
        <f t="shared" si="105"/>
        <v>0</v>
      </c>
      <c r="K194" s="184">
        <f t="shared" si="105"/>
        <v>0</v>
      </c>
      <c r="L194" s="184">
        <f t="shared" si="105"/>
        <v>0</v>
      </c>
      <c r="M194" s="185">
        <f t="shared" si="105"/>
        <v>13.027839335765458</v>
      </c>
      <c r="N194" s="184">
        <f t="shared" si="105"/>
        <v>12.498583967064478</v>
      </c>
      <c r="O194" s="184">
        <f t="shared" si="105"/>
        <v>12.220550115348619</v>
      </c>
      <c r="P194" s="184">
        <f t="shared" si="105"/>
        <v>11.725168370838183</v>
      </c>
      <c r="Q194" s="184">
        <f t="shared" si="105"/>
        <v>11.191871606457537</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43.502136234599746</v>
      </c>
      <c r="I196" s="247">
        <f t="shared" si="106"/>
        <v>0</v>
      </c>
      <c r="J196" s="184">
        <f t="shared" si="106"/>
        <v>0</v>
      </c>
      <c r="K196" s="184">
        <f t="shared" si="106"/>
        <v>0</v>
      </c>
      <c r="L196" s="184">
        <f t="shared" si="106"/>
        <v>0</v>
      </c>
      <c r="M196" s="185">
        <f t="shared" si="106"/>
        <v>9.6244006328087028</v>
      </c>
      <c r="N196" s="184">
        <f t="shared" si="106"/>
        <v>9.1315988270472257</v>
      </c>
      <c r="O196" s="184">
        <f t="shared" si="106"/>
        <v>8.6741222613781446</v>
      </c>
      <c r="P196" s="184">
        <f t="shared" si="106"/>
        <v>8.2415205909086318</v>
      </c>
      <c r="Q196" s="184">
        <f t="shared" si="106"/>
        <v>7.830493922457034</v>
      </c>
      <c r="R196" s="184">
        <f t="shared" si="106"/>
        <v>0</v>
      </c>
    </row>
    <row r="197" spans="1:26" x14ac:dyDescent="0.25">
      <c r="E197" s="7" t="str">
        <f>E$192</f>
        <v>RCV run-off company should have received- real</v>
      </c>
      <c r="F197" s="184">
        <f t="shared" ref="F197:R197" si="107">F$192</f>
        <v>0</v>
      </c>
      <c r="G197" s="7" t="str">
        <f t="shared" si="107"/>
        <v>£m</v>
      </c>
      <c r="H197" s="247">
        <f t="shared" si="107"/>
        <v>44.651909401422671</v>
      </c>
      <c r="I197" s="247">
        <f t="shared" si="107"/>
        <v>0</v>
      </c>
      <c r="J197" s="184">
        <f t="shared" si="107"/>
        <v>0</v>
      </c>
      <c r="K197" s="184">
        <f t="shared" si="107"/>
        <v>0</v>
      </c>
      <c r="L197" s="184">
        <f t="shared" si="107"/>
        <v>0</v>
      </c>
      <c r="M197" s="185">
        <f t="shared" si="107"/>
        <v>9.5891760066156095</v>
      </c>
      <c r="N197" s="184">
        <f t="shared" si="107"/>
        <v>9.199616176154148</v>
      </c>
      <c r="O197" s="184">
        <f t="shared" si="107"/>
        <v>8.9949686155581769</v>
      </c>
      <c r="P197" s="184">
        <f t="shared" si="107"/>
        <v>8.6303415568306558</v>
      </c>
      <c r="Q197" s="184">
        <f t="shared" si="107"/>
        <v>8.2378070462640842</v>
      </c>
      <c r="R197" s="184">
        <f t="shared" si="107"/>
        <v>0</v>
      </c>
    </row>
    <row r="198" spans="1:26" x14ac:dyDescent="0.25">
      <c r="C198" s="278"/>
      <c r="E198" s="7" t="s">
        <v>402</v>
      </c>
      <c r="G198" s="7" t="s">
        <v>235</v>
      </c>
      <c r="H198" s="185">
        <f xml:space="preserve"> SUM(J198:R198)</f>
        <v>1.1497731668229356</v>
      </c>
      <c r="I198" s="185"/>
      <c r="J198" s="184">
        <f t="shared" ref="J198:K198" si="108">J197-J196</f>
        <v>0</v>
      </c>
      <c r="K198" s="184">
        <f t="shared" si="108"/>
        <v>0</v>
      </c>
      <c r="L198" s="184">
        <f>L197-L196</f>
        <v>0</v>
      </c>
      <c r="M198" s="185">
        <f>M197-M196</f>
        <v>-3.52246261930933E-2</v>
      </c>
      <c r="N198" s="184">
        <f t="shared" ref="N198:R198" si="109">N197-N196</f>
        <v>6.8017349106922254E-2</v>
      </c>
      <c r="O198" s="184">
        <f t="shared" si="109"/>
        <v>0.32084635418003238</v>
      </c>
      <c r="P198" s="184">
        <f t="shared" si="109"/>
        <v>0.38882096592202409</v>
      </c>
      <c r="Q198" s="184">
        <f t="shared" si="109"/>
        <v>0.4073131238070502</v>
      </c>
      <c r="R198" s="184">
        <f t="shared" si="109"/>
        <v>0</v>
      </c>
    </row>
    <row r="200" spans="1:26" x14ac:dyDescent="0.25">
      <c r="E200" s="7" t="str">
        <f>E$190</f>
        <v>True up Nominal return- real</v>
      </c>
      <c r="F200" s="184">
        <f t="shared" ref="F200:R200" si="110">F$190</f>
        <v>0</v>
      </c>
      <c r="G200" s="7" t="str">
        <f t="shared" si="110"/>
        <v>£m</v>
      </c>
      <c r="H200" s="247">
        <f t="shared" si="110"/>
        <v>15.599797157377953</v>
      </c>
      <c r="I200" s="247">
        <f t="shared" si="110"/>
        <v>0</v>
      </c>
      <c r="J200" s="184">
        <f t="shared" si="110"/>
        <v>0</v>
      </c>
      <c r="K200" s="184">
        <f t="shared" si="110"/>
        <v>0</v>
      </c>
      <c r="L200" s="184">
        <f t="shared" si="110"/>
        <v>0</v>
      </c>
      <c r="M200" s="185">
        <f t="shared" si="110"/>
        <v>3.4512948243158204</v>
      </c>
      <c r="N200" s="184">
        <f t="shared" si="110"/>
        <v>3.2745768772428159</v>
      </c>
      <c r="O200" s="184">
        <f t="shared" si="110"/>
        <v>3.1105265053207249</v>
      </c>
      <c r="P200" s="184">
        <f t="shared" si="110"/>
        <v>2.9553962314216742</v>
      </c>
      <c r="Q200" s="184">
        <f t="shared" si="110"/>
        <v>2.8080027190769177</v>
      </c>
      <c r="R200" s="184">
        <f t="shared" si="110"/>
        <v>0</v>
      </c>
    </row>
    <row r="201" spans="1:26" x14ac:dyDescent="0.25">
      <c r="E201" s="7" t="str">
        <f>E$193</f>
        <v>Nominal return company should have received- real</v>
      </c>
      <c r="F201" s="184">
        <f t="shared" ref="F201:R201" si="111">F$193</f>
        <v>0</v>
      </c>
      <c r="G201" s="7" t="str">
        <f t="shared" si="111"/>
        <v>£m</v>
      </c>
      <c r="H201" s="247">
        <f t="shared" si="111"/>
        <v>16.012103994051596</v>
      </c>
      <c r="I201" s="247">
        <f t="shared" si="111"/>
        <v>0</v>
      </c>
      <c r="J201" s="184">
        <f t="shared" si="111"/>
        <v>0</v>
      </c>
      <c r="K201" s="184">
        <f t="shared" si="111"/>
        <v>0</v>
      </c>
      <c r="L201" s="184">
        <f t="shared" si="111"/>
        <v>0</v>
      </c>
      <c r="M201" s="185">
        <f t="shared" si="111"/>
        <v>3.4386633291498496</v>
      </c>
      <c r="N201" s="184">
        <f t="shared" si="111"/>
        <v>3.2989677909103299</v>
      </c>
      <c r="O201" s="184">
        <f t="shared" si="111"/>
        <v>3.2255814997904411</v>
      </c>
      <c r="P201" s="184">
        <f t="shared" si="111"/>
        <v>3.0948268140075266</v>
      </c>
      <c r="Q201" s="184">
        <f t="shared" si="111"/>
        <v>2.9540645601934528</v>
      </c>
      <c r="R201" s="184">
        <f t="shared" si="111"/>
        <v>0</v>
      </c>
    </row>
    <row r="202" spans="1:26" x14ac:dyDescent="0.25">
      <c r="C202" s="278"/>
      <c r="E202" s="7" t="s">
        <v>403</v>
      </c>
      <c r="G202" s="7" t="s">
        <v>235</v>
      </c>
      <c r="H202" s="185">
        <f xml:space="preserve"> SUM(J202:R202)</f>
        <v>0.41230683667364687</v>
      </c>
      <c r="I202" s="185"/>
      <c r="J202" s="184">
        <f t="shared" ref="J202:K202" si="112">J201-J200</f>
        <v>0</v>
      </c>
      <c r="K202" s="184">
        <f t="shared" si="112"/>
        <v>0</v>
      </c>
      <c r="L202" s="184">
        <f>L201-L200</f>
        <v>0</v>
      </c>
      <c r="M202" s="185">
        <f>M201-M200</f>
        <v>-1.263149516597073E-2</v>
      </c>
      <c r="N202" s="184">
        <f t="shared" ref="N202:R202" si="113">N201-N200</f>
        <v>2.4390913667514003E-2</v>
      </c>
      <c r="O202" s="184">
        <f>O201-O200</f>
        <v>0.11505499446971612</v>
      </c>
      <c r="P202" s="184">
        <f t="shared" si="113"/>
        <v>0.13943058258585239</v>
      </c>
      <c r="Q202" s="184">
        <f t="shared" si="113"/>
        <v>0.14606184111653508</v>
      </c>
      <c r="R202" s="184">
        <f t="shared" si="113"/>
        <v>0</v>
      </c>
    </row>
    <row r="204" spans="1:26" x14ac:dyDescent="0.25">
      <c r="E204" s="7" t="str">
        <f>E$191</f>
        <v>Total True up Nominal revenue to company- real</v>
      </c>
      <c r="F204" s="184">
        <f t="shared" ref="F204:R204" si="114">F$191</f>
        <v>0</v>
      </c>
      <c r="G204" s="7" t="str">
        <f t="shared" si="114"/>
        <v>£m</v>
      </c>
      <c r="H204" s="247">
        <f t="shared" si="114"/>
        <v>59.101933391977681</v>
      </c>
      <c r="I204" s="247"/>
      <c r="J204" s="184">
        <f t="shared" si="114"/>
        <v>0</v>
      </c>
      <c r="K204" s="184">
        <f t="shared" si="114"/>
        <v>0</v>
      </c>
      <c r="L204" s="184">
        <f t="shared" si="114"/>
        <v>0</v>
      </c>
      <c r="M204" s="185">
        <f t="shared" si="114"/>
        <v>13.075695457124523</v>
      </c>
      <c r="N204" s="184">
        <f t="shared" si="114"/>
        <v>12.406175704290041</v>
      </c>
      <c r="O204" s="184">
        <f t="shared" si="114"/>
        <v>11.784648766698869</v>
      </c>
      <c r="P204" s="184">
        <f t="shared" si="114"/>
        <v>11.196916822330305</v>
      </c>
      <c r="Q204" s="184">
        <f t="shared" si="114"/>
        <v>10.638496641533951</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60.664013395474278</v>
      </c>
      <c r="I205" s="247"/>
      <c r="J205" s="184">
        <f t="shared" si="115"/>
        <v>0</v>
      </c>
      <c r="K205" s="184">
        <f t="shared" si="115"/>
        <v>0</v>
      </c>
      <c r="L205" s="184">
        <f t="shared" si="115"/>
        <v>0</v>
      </c>
      <c r="M205" s="185">
        <f t="shared" si="115"/>
        <v>13.027839335765458</v>
      </c>
      <c r="N205" s="184">
        <f t="shared" si="115"/>
        <v>12.498583967064478</v>
      </c>
      <c r="O205" s="184">
        <f t="shared" si="115"/>
        <v>12.220550115348619</v>
      </c>
      <c r="P205" s="184">
        <f t="shared" si="115"/>
        <v>11.725168370838183</v>
      </c>
      <c r="Q205" s="184">
        <f t="shared" si="115"/>
        <v>11.191871606457537</v>
      </c>
      <c r="R205" s="184">
        <f t="shared" si="115"/>
        <v>0</v>
      </c>
    </row>
    <row r="206" spans="1:26" x14ac:dyDescent="0.25">
      <c r="C206" s="278"/>
      <c r="E206" s="7" t="s">
        <v>404</v>
      </c>
      <c r="G206" s="7" t="s">
        <v>235</v>
      </c>
      <c r="H206" s="185">
        <f xml:space="preserve"> SUM(J206:R206)</f>
        <v>1.5620800034965878</v>
      </c>
      <c r="I206" s="185"/>
      <c r="J206" s="184">
        <f t="shared" ref="J206:K206" si="116">J205-J204</f>
        <v>0</v>
      </c>
      <c r="K206" s="184">
        <f t="shared" si="116"/>
        <v>0</v>
      </c>
      <c r="L206" s="184">
        <f>L205-L204</f>
        <v>0</v>
      </c>
      <c r="M206" s="185">
        <f>M205-M204</f>
        <v>-4.7856121359064474E-2</v>
      </c>
      <c r="N206" s="184">
        <f t="shared" ref="N206:R206" si="117">N205-N204</f>
        <v>9.2408262774437588E-2</v>
      </c>
      <c r="O206" s="184">
        <f t="shared" si="117"/>
        <v>0.43590134864975028</v>
      </c>
      <c r="P206" s="184">
        <f t="shared" si="117"/>
        <v>0.52825154850787825</v>
      </c>
      <c r="Q206" s="184">
        <f t="shared" si="117"/>
        <v>0.55337496492358618</v>
      </c>
      <c r="R206" s="184">
        <f t="shared" si="117"/>
        <v>0</v>
      </c>
    </row>
    <row r="208" spans="1:26" x14ac:dyDescent="0.25">
      <c r="B208" s="61" t="s">
        <v>405</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InpR!E$111</f>
        <v>WACC real on RCV - CPI(H) bf and additions - BR</v>
      </c>
      <c r="F210" s="205">
        <f>InpR!F$111</f>
        <v>0</v>
      </c>
      <c r="G210" s="223" t="str">
        <f>InpR!G$111</f>
        <v>%</v>
      </c>
      <c r="H210" s="205" t="str">
        <f>InpR!I$111</f>
        <v>PR19 Financial model, 'Bio Resources' sheet row 860</v>
      </c>
      <c r="I210" s="205" t="e">
        <f>InpR!#REF!</f>
        <v>#REF!</v>
      </c>
      <c r="J210" s="205">
        <f>InpR!J$111</f>
        <v>0</v>
      </c>
      <c r="K210" s="205">
        <f>InpR!K$111</f>
        <v>0</v>
      </c>
      <c r="L210" s="205">
        <f>InpR!L$111</f>
        <v>0</v>
      </c>
      <c r="M210" s="205">
        <f>InpR!M$111</f>
        <v>3.1200592500000068E-2</v>
      </c>
      <c r="N210" s="205">
        <f>InpR!N$111</f>
        <v>3.1200592500000068E-2</v>
      </c>
      <c r="O210" s="205">
        <f>InpR!O$111</f>
        <v>3.1200592500000068E-2</v>
      </c>
      <c r="P210" s="205">
        <f>InpR!P$111</f>
        <v>3.1200592500000068E-2</v>
      </c>
      <c r="Q210" s="205">
        <f>InpR!Q$111</f>
        <v>3.1200592500000068E-2</v>
      </c>
      <c r="R210" s="205">
        <f>InpR!R$111</f>
        <v>0</v>
      </c>
    </row>
    <row r="211" spans="1:18" x14ac:dyDescent="0.25">
      <c r="E211" s="7" t="s">
        <v>406</v>
      </c>
      <c r="G211" s="7" t="s">
        <v>407</v>
      </c>
      <c r="J211" s="255">
        <f xml:space="preserve"> (1 + J$210) ^ J$209</f>
        <v>1</v>
      </c>
      <c r="K211" s="255">
        <f t="shared" ref="K211:R211" si="118" xml:space="preserve"> (1 + K$210) ^ K$209</f>
        <v>1</v>
      </c>
      <c r="L211" s="255">
        <f t="shared" si="118"/>
        <v>1</v>
      </c>
      <c r="M211" s="255">
        <f t="shared" si="118"/>
        <v>1.1307656717248122</v>
      </c>
      <c r="N211" s="255">
        <f t="shared" si="118"/>
        <v>1.0965525814753758</v>
      </c>
      <c r="O211" s="255">
        <f t="shared" si="118"/>
        <v>1.0633746619723512</v>
      </c>
      <c r="P211" s="255">
        <f t="shared" si="118"/>
        <v>1.0312005925000001</v>
      </c>
      <c r="Q211" s="255">
        <f t="shared" si="118"/>
        <v>1</v>
      </c>
      <c r="R211" s="255">
        <f t="shared" si="118"/>
        <v>1</v>
      </c>
    </row>
    <row r="213" spans="1:18" x14ac:dyDescent="0.25">
      <c r="B213" s="61" t="s">
        <v>408</v>
      </c>
    </row>
    <row r="214" spans="1:18" x14ac:dyDescent="0.25">
      <c r="E214" s="7" t="str">
        <f>E$198</f>
        <v>Value of True up run-off - real</v>
      </c>
      <c r="F214" s="184">
        <f t="shared" ref="F214:R214" si="119">F$198</f>
        <v>0</v>
      </c>
      <c r="G214" s="7" t="str">
        <f t="shared" si="119"/>
        <v>£m</v>
      </c>
      <c r="H214" s="247">
        <f t="shared" si="119"/>
        <v>1.1497731668229356</v>
      </c>
      <c r="I214" s="247">
        <f t="shared" si="119"/>
        <v>0</v>
      </c>
      <c r="J214" s="184">
        <f t="shared" si="119"/>
        <v>0</v>
      </c>
      <c r="K214" s="184">
        <f t="shared" si="119"/>
        <v>0</v>
      </c>
      <c r="L214" s="184">
        <f t="shared" si="119"/>
        <v>0</v>
      </c>
      <c r="M214" s="185">
        <f t="shared" si="119"/>
        <v>-3.52246261930933E-2</v>
      </c>
      <c r="N214" s="184">
        <f t="shared" si="119"/>
        <v>6.8017349106922254E-2</v>
      </c>
      <c r="O214" s="184">
        <f t="shared" si="119"/>
        <v>0.32084635418003238</v>
      </c>
      <c r="P214" s="184">
        <f t="shared" si="119"/>
        <v>0.38882096592202409</v>
      </c>
      <c r="Q214" s="184">
        <f t="shared" si="119"/>
        <v>0.4073131238070502</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1.1307656717248122</v>
      </c>
      <c r="N215" s="184">
        <f t="shared" si="120"/>
        <v>1.0965525814753758</v>
      </c>
      <c r="O215" s="184">
        <f t="shared" si="120"/>
        <v>1.0633746619723512</v>
      </c>
      <c r="P215" s="184">
        <f t="shared" si="120"/>
        <v>1.0312005925000001</v>
      </c>
      <c r="Q215" s="184">
        <f t="shared" si="120"/>
        <v>1</v>
      </c>
      <c r="R215" s="184">
        <f t="shared" si="120"/>
        <v>1</v>
      </c>
    </row>
    <row r="216" spans="1:18" s="34" customFormat="1" x14ac:dyDescent="0.25">
      <c r="A216" s="265"/>
      <c r="B216" s="266"/>
      <c r="C216" s="267"/>
      <c r="D216" s="268"/>
      <c r="E216" s="34" t="s">
        <v>419</v>
      </c>
      <c r="G216" s="34" t="s">
        <v>235</v>
      </c>
      <c r="H216" s="271">
        <f xml:space="preserve"> SUM(J216:R216)</f>
        <v>1.1841992193133359</v>
      </c>
      <c r="J216" s="271">
        <f xml:space="preserve"> J214 * J215</f>
        <v>0</v>
      </c>
      <c r="K216" s="271">
        <f t="shared" ref="K216:R216" si="121" xml:space="preserve"> K214 * K215</f>
        <v>0</v>
      </c>
      <c r="L216" s="271">
        <f t="shared" si="121"/>
        <v>0</v>
      </c>
      <c r="M216" s="277">
        <f t="shared" si="121"/>
        <v>-3.9830798098488558E-2</v>
      </c>
      <c r="N216" s="271">
        <f t="shared" si="121"/>
        <v>7.4584599748307445E-2</v>
      </c>
      <c r="O216" s="271">
        <f t="shared" si="121"/>
        <v>0.34117988342125322</v>
      </c>
      <c r="P216" s="271">
        <f t="shared" si="121"/>
        <v>0.40095241043521357</v>
      </c>
      <c r="Q216" s="271">
        <f t="shared" si="121"/>
        <v>0.4073131238070502</v>
      </c>
      <c r="R216" s="271">
        <f t="shared" si="121"/>
        <v>0</v>
      </c>
    </row>
    <row r="218" spans="1:18" x14ac:dyDescent="0.25">
      <c r="B218" s="61" t="s">
        <v>410</v>
      </c>
    </row>
    <row r="219" spans="1:18" x14ac:dyDescent="0.25">
      <c r="E219" s="7" t="str">
        <f>E202</f>
        <v>Value of True up return - real</v>
      </c>
      <c r="F219" s="184">
        <f t="shared" ref="F219:R219" si="122">F202</f>
        <v>0</v>
      </c>
      <c r="G219" s="7" t="str">
        <f t="shared" si="122"/>
        <v>£m</v>
      </c>
      <c r="H219" s="247">
        <f t="shared" si="122"/>
        <v>0.41230683667364687</v>
      </c>
      <c r="I219" s="247">
        <f t="shared" si="122"/>
        <v>0</v>
      </c>
      <c r="J219" s="184">
        <f t="shared" si="122"/>
        <v>0</v>
      </c>
      <c r="K219" s="184">
        <f t="shared" si="122"/>
        <v>0</v>
      </c>
      <c r="L219" s="184">
        <f t="shared" si="122"/>
        <v>0</v>
      </c>
      <c r="M219" s="185">
        <f t="shared" si="122"/>
        <v>-1.263149516597073E-2</v>
      </c>
      <c r="N219" s="184">
        <f t="shared" si="122"/>
        <v>2.4390913667514003E-2</v>
      </c>
      <c r="O219" s="184">
        <f t="shared" si="122"/>
        <v>0.11505499446971612</v>
      </c>
      <c r="P219" s="184">
        <f t="shared" si="122"/>
        <v>0.13943058258585239</v>
      </c>
      <c r="Q219" s="184">
        <f t="shared" si="122"/>
        <v>0.14606184111653508</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1.1307656717248122</v>
      </c>
      <c r="N220" s="184">
        <f t="shared" si="123"/>
        <v>1.0965525814753758</v>
      </c>
      <c r="O220" s="184">
        <f t="shared" si="123"/>
        <v>1.0633746619723512</v>
      </c>
      <c r="P220" s="184">
        <f t="shared" si="123"/>
        <v>1.0312005925000001</v>
      </c>
      <c r="Q220" s="184">
        <f t="shared" si="123"/>
        <v>1</v>
      </c>
      <c r="R220" s="184">
        <f t="shared" si="123"/>
        <v>1</v>
      </c>
    </row>
    <row r="221" spans="1:18" s="34" customFormat="1" x14ac:dyDescent="0.25">
      <c r="A221" s="265"/>
      <c r="B221" s="266"/>
      <c r="C221" s="267"/>
      <c r="D221" s="268"/>
      <c r="E221" s="34" t="s">
        <v>420</v>
      </c>
      <c r="G221" s="34" t="s">
        <v>235</v>
      </c>
      <c r="H221" s="271">
        <f xml:space="preserve"> SUM(J221:R221)</f>
        <v>0.42465196457456927</v>
      </c>
      <c r="J221" s="271">
        <f xml:space="preserve"> J219 * J220</f>
        <v>0</v>
      </c>
      <c r="K221" s="271">
        <f t="shared" ref="K221:M221" si="124" xml:space="preserve"> K219 * K220</f>
        <v>0</v>
      </c>
      <c r="L221" s="271">
        <f t="shared" si="124"/>
        <v>0</v>
      </c>
      <c r="M221" s="277">
        <f t="shared" si="124"/>
        <v>-1.428326111623761E-2</v>
      </c>
      <c r="N221" s="271">
        <f xml:space="preserve"> N219 * N220</f>
        <v>2.6745919346655506E-2</v>
      </c>
      <c r="O221" s="271">
        <f t="shared" ref="O221:R221" si="125" xml:space="preserve"> O219 * O220</f>
        <v>0.12234656585246512</v>
      </c>
      <c r="P221" s="271">
        <f t="shared" si="125"/>
        <v>0.14378089937515118</v>
      </c>
      <c r="Q221" s="271">
        <f t="shared" si="125"/>
        <v>0.14606184111653508</v>
      </c>
      <c r="R221" s="271">
        <f t="shared" si="125"/>
        <v>0</v>
      </c>
    </row>
    <row r="223" spans="1:18" ht="12.9" x14ac:dyDescent="0.25">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35" priority="6" stopIfTrue="1" operator="notEqual">
      <formula>0</formula>
    </cfRule>
    <cfRule type="cellIs" dxfId="34" priority="7" stopIfTrue="1" operator="equal">
      <formula>""</formula>
    </cfRule>
  </conditionalFormatting>
  <conditionalFormatting sqref="J3:Z3">
    <cfRule type="cellIs" dxfId="33" priority="8" operator="equal">
      <formula>"Post-Fcst"</formula>
    </cfRule>
    <cfRule type="cellIs" dxfId="32" priority="9" operator="equal">
      <formula>"Forecast"</formula>
    </cfRule>
    <cfRule type="cellIs" dxfId="31" priority="10" operator="equal">
      <formula>"Pre Fcst"</formula>
    </cfRule>
  </conditionalFormatting>
  <conditionalFormatting sqref="F2">
    <cfRule type="cellIs" dxfId="30" priority="4" stopIfTrue="1" operator="notEqual">
      <formula>0</formula>
    </cfRule>
    <cfRule type="cellIs" dxfId="29" priority="5" stopIfTrue="1" operator="equal">
      <formula>""</formula>
    </cfRule>
  </conditionalFormatting>
  <conditionalFormatting sqref="F165">
    <cfRule type="cellIs" dxfId="28" priority="2" stopIfTrue="1" operator="notEqual">
      <formula>0</formula>
    </cfRule>
    <cfRule type="cellIs" dxfId="27"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45"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25" x14ac:dyDescent="0.45">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ht="12.9" x14ac:dyDescent="0.25">
      <c r="A8" s="285" t="s">
        <v>344</v>
      </c>
      <c r="B8" s="286"/>
      <c r="C8" s="287"/>
      <c r="D8" s="287"/>
      <c r="E8" s="287"/>
      <c r="F8" s="287"/>
      <c r="G8" s="287"/>
      <c r="H8" s="287"/>
      <c r="I8" s="287"/>
      <c r="J8" s="287"/>
      <c r="K8" s="287"/>
      <c r="L8" s="287"/>
      <c r="M8" s="287"/>
      <c r="N8" s="287"/>
      <c r="O8" s="287"/>
      <c r="P8" s="287"/>
      <c r="Q8" s="287"/>
      <c r="R8" s="287"/>
    </row>
    <row r="10" spans="1:26" x14ac:dyDescent="0.25">
      <c r="C10" s="110" t="s">
        <v>345</v>
      </c>
    </row>
    <row r="12" spans="1:26" x14ac:dyDescent="0.25">
      <c r="B12" s="61" t="s">
        <v>346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349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350</v>
      </c>
      <c r="G24" s="91" t="s">
        <v>235</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DMMY</v>
      </c>
      <c r="F26" s="205">
        <f xml:space="preserve"> InpR!F$98</f>
        <v>0</v>
      </c>
      <c r="G26" s="223" t="str">
        <f xml:space="preserve"> InpR!G$98</f>
        <v>%</v>
      </c>
      <c r="H26" s="205" t="str">
        <f xml:space="preserve"> InpR!I$98</f>
        <v>PR19 Financial model, 'F_OutputsMaster' sheet row 966, PR19FM2103POST</v>
      </c>
      <c r="I26" s="205" t="e">
        <f xml:space="preserve"> InpR!#REF!</f>
        <v>#REF!</v>
      </c>
      <c r="J26" s="205">
        <f xml:space="preserve"> InpR!J$98</f>
        <v>0</v>
      </c>
      <c r="K26" s="205">
        <f xml:space="preserve"> InpR!K$98</f>
        <v>0</v>
      </c>
      <c r="L26" s="205">
        <f xml:space="preserve"> InpR!L$98</f>
        <v>0</v>
      </c>
      <c r="M26" s="205">
        <f xml:space="preserve"> InpR!M$98</f>
        <v>0</v>
      </c>
      <c r="N26" s="205">
        <f xml:space="preserve"> InpR!N$98</f>
        <v>0</v>
      </c>
      <c r="O26" s="205">
        <f xml:space="preserve"> InpR!O$98</f>
        <v>0</v>
      </c>
      <c r="P26" s="205">
        <f xml:space="preserve"> InpR!P$98</f>
        <v>0</v>
      </c>
      <c r="Q26" s="205">
        <f xml:space="preserve"> InpR!Q$98</f>
        <v>0</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DMMY</v>
      </c>
      <c r="F31" s="250">
        <f>InpR!$F$91</f>
        <v>0</v>
      </c>
      <c r="G31" s="249"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352</v>
      </c>
      <c r="G34" s="92" t="s">
        <v>235</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355</v>
      </c>
      <c r="G37" s="163" t="s">
        <v>235</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356</v>
      </c>
      <c r="G42" s="92" t="s">
        <v>235</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357</v>
      </c>
    </row>
    <row r="45" spans="1:26" s="205" customFormat="1" x14ac:dyDescent="0.25">
      <c r="A45" s="201"/>
      <c r="B45" s="202"/>
      <c r="C45" s="203"/>
      <c r="D45" s="204"/>
      <c r="E45" s="205" t="str">
        <f xml:space="preserve"> InpR!E$105</f>
        <v>WACC on RCV - CPI(H) + RPI wedge bf and additions - DMMY</v>
      </c>
      <c r="F45" s="205">
        <f xml:space="preserve"> InpR!F$105</f>
        <v>0</v>
      </c>
      <c r="G45" s="223" t="str">
        <f xml:space="preserve"> InpR!G$105</f>
        <v>%</v>
      </c>
      <c r="H45" s="205" t="str">
        <f xml:space="preserve"> InpR!I$105</f>
        <v>PR19 Financial model, 'Dummy Control' sheet row 980</v>
      </c>
      <c r="I45" s="205" t="e">
        <f xml:space="preserve"> InpR!#REF!</f>
        <v>#REF!</v>
      </c>
      <c r="J45" s="205">
        <f xml:space="preserve"> InpR!J$105</f>
        <v>0</v>
      </c>
      <c r="K45" s="205">
        <f xml:space="preserve"> InpR!K$105</f>
        <v>0</v>
      </c>
      <c r="L45" s="205">
        <f xml:space="preserve"> InpR!L$105</f>
        <v>0</v>
      </c>
      <c r="M45" s="205">
        <f xml:space="preserve"> InpR!M$105</f>
        <v>0</v>
      </c>
      <c r="N45" s="205">
        <f xml:space="preserve"> InpR!N$105</f>
        <v>0</v>
      </c>
      <c r="O45" s="205">
        <f xml:space="preserve"> InpR!O$105</f>
        <v>0</v>
      </c>
      <c r="P45" s="205">
        <f xml:space="preserve"> InpR!P$105</f>
        <v>0</v>
      </c>
      <c r="Q45" s="205">
        <f xml:space="preserve"> InpR!Q$105</f>
        <v>0</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358</v>
      </c>
      <c r="G48" s="91" t="s">
        <v>235</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359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360</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ht="12.9" x14ac:dyDescent="0.25">
      <c r="A55" s="285" t="s">
        <v>361</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362</v>
      </c>
      <c r="M57" s="177"/>
      <c r="N57" s="177"/>
      <c r="O57" s="177"/>
      <c r="P57" s="177"/>
      <c r="Q57" s="177"/>
    </row>
    <row r="58" spans="1:26" x14ac:dyDescent="0.25">
      <c r="C58" s="110" t="s">
        <v>363</v>
      </c>
      <c r="M58" s="177"/>
      <c r="N58" s="177"/>
      <c r="O58" s="177"/>
      <c r="P58" s="177"/>
      <c r="Q58" s="177"/>
    </row>
    <row r="59" spans="1:26" x14ac:dyDescent="0.25">
      <c r="C59" s="110" t="s">
        <v>364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365</v>
      </c>
      <c r="G61" s="91" t="s">
        <v>235</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2"/>
      <c r="N62" s="282"/>
      <c r="O62" s="282"/>
      <c r="P62" s="282"/>
      <c r="Q62" s="282"/>
      <c r="R62" s="247"/>
    </row>
    <row r="63" spans="1:26" ht="12.9" x14ac:dyDescent="0.25">
      <c r="A63" s="285" t="s">
        <v>366</v>
      </c>
      <c r="B63" s="286"/>
      <c r="C63" s="287"/>
      <c r="D63" s="287"/>
      <c r="E63" s="287"/>
      <c r="F63" s="287"/>
      <c r="G63" s="287"/>
      <c r="H63" s="287"/>
      <c r="I63" s="287"/>
      <c r="J63" s="287"/>
      <c r="K63" s="287"/>
      <c r="L63" s="287"/>
      <c r="M63" s="287"/>
      <c r="N63" s="287"/>
      <c r="O63" s="287"/>
      <c r="P63" s="287"/>
      <c r="Q63" s="287"/>
      <c r="R63" s="287"/>
    </row>
    <row r="65" spans="1:16383" x14ac:dyDescent="0.25">
      <c r="C65" s="110" t="s">
        <v>367</v>
      </c>
    </row>
    <row r="67" spans="1:16383" x14ac:dyDescent="0.25">
      <c r="B67" s="61" t="s">
        <v>368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x14ac:dyDescent="0.25">
      <c r="A70" s="173"/>
      <c r="B70" s="174"/>
      <c r="C70" s="175"/>
      <c r="D70" s="176"/>
      <c r="E70" s="172" t="s">
        <v>369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4.2140370430180152E-2</v>
      </c>
      <c r="Q70" s="172">
        <f t="shared" si="26"/>
        <v>3.6767846700548112E-2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4.2140370430180152E-2</v>
      </c>
      <c r="Q74" s="172">
        <f t="shared" si="28"/>
        <v>3.6767846700548112E-2</v>
      </c>
      <c r="R74" s="172">
        <f t="shared" si="28"/>
        <v>1.999999999999913E-2</v>
      </c>
      <c r="S74" s="177"/>
      <c r="T74" s="177"/>
      <c r="U74" s="177"/>
      <c r="V74" s="177"/>
      <c r="W74" s="177"/>
      <c r="X74" s="177"/>
      <c r="Y74" s="177"/>
      <c r="Z74" s="177"/>
    </row>
    <row r="75" spans="1:16383" x14ac:dyDescent="0.25">
      <c r="E75" s="7" t="s">
        <v>371</v>
      </c>
      <c r="G75" s="162" t="s">
        <v>235</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InpR!E$98</f>
        <v>Run-off rate - CPI(H) + RPI wedge - active - DMMY</v>
      </c>
      <c r="F77" s="205">
        <f xml:space="preserve"> InpR!F$98</f>
        <v>0</v>
      </c>
      <c r="G77" s="223" t="str">
        <f xml:space="preserve"> InpR!G$98</f>
        <v>%</v>
      </c>
      <c r="H77" s="205" t="str">
        <f xml:space="preserve"> InpR!I$98</f>
        <v>PR19 Financial model, 'F_OutputsMaster' sheet row 966, PR19FM2103POST</v>
      </c>
      <c r="I77" s="205" t="e">
        <f xml:space="preserve"> InpR!#REF!</f>
        <v>#REF!</v>
      </c>
      <c r="J77" s="205">
        <f xml:space="preserve"> InpR!J$98</f>
        <v>0</v>
      </c>
      <c r="K77" s="205">
        <f xml:space="preserve"> InpR!K$98</f>
        <v>0</v>
      </c>
      <c r="L77" s="205">
        <f xml:space="preserve"> InpR!L$98</f>
        <v>0</v>
      </c>
      <c r="M77" s="205">
        <f xml:space="preserve"> InpR!M$98</f>
        <v>0</v>
      </c>
      <c r="N77" s="205">
        <f xml:space="preserve"> InpR!N$98</f>
        <v>0</v>
      </c>
      <c r="O77" s="205">
        <f xml:space="preserve"> InpR!O$98</f>
        <v>0</v>
      </c>
      <c r="P77" s="205">
        <f xml:space="preserve"> InpR!P$98</f>
        <v>0</v>
      </c>
      <c r="Q77" s="205">
        <f xml:space="preserve"> InpR!Q$98</f>
        <v>0</v>
      </c>
      <c r="R77" s="205">
        <f xml:space="preserve"> InpR!R$98</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372</v>
      </c>
      <c r="F80" s="244"/>
      <c r="G80" s="244" t="s">
        <v>235</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InpR!$E$91</f>
        <v>RCV - CPI(H) + RPI wedge initial balance - nominal - DMMY</v>
      </c>
      <c r="F82" s="250">
        <f>InpR!$F$91</f>
        <v>0</v>
      </c>
      <c r="G82" s="249" t="str">
        <f>InpR!$G$91</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373</v>
      </c>
      <c r="G85" s="162" t="s">
        <v>235</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353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354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374</v>
      </c>
      <c r="G88" s="163" t="s">
        <v>235</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375</v>
      </c>
      <c r="G93" s="92" t="s">
        <v>235</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376</v>
      </c>
    </row>
    <row r="96" spans="1:18" s="205" customFormat="1" x14ac:dyDescent="0.25">
      <c r="A96" s="201"/>
      <c r="B96" s="202"/>
      <c r="C96" s="203"/>
      <c r="D96" s="204"/>
      <c r="E96" s="205" t="str">
        <f xml:space="preserve"> InpR!E$105</f>
        <v>WACC on RCV - CPI(H) + RPI wedge bf and additions - DMMY</v>
      </c>
      <c r="F96" s="205">
        <f xml:space="preserve"> InpR!F$105</f>
        <v>0</v>
      </c>
      <c r="G96" s="223" t="str">
        <f xml:space="preserve"> InpR!G$105</f>
        <v>%</v>
      </c>
      <c r="H96" s="205" t="str">
        <f xml:space="preserve"> InpR!I$105</f>
        <v>PR19 Financial model, 'Dummy Control' sheet row 980</v>
      </c>
      <c r="I96" s="205" t="e">
        <f xml:space="preserve"> InpR!#REF!</f>
        <v>#REF!</v>
      </c>
      <c r="J96" s="205">
        <f xml:space="preserve"> InpR!J$105</f>
        <v>0</v>
      </c>
      <c r="K96" s="205">
        <f xml:space="preserve"> InpR!K$105</f>
        <v>0</v>
      </c>
      <c r="L96" s="205">
        <f xml:space="preserve"> InpR!L$105</f>
        <v>0</v>
      </c>
      <c r="M96" s="205">
        <f xml:space="preserve"> InpR!M$105</f>
        <v>0</v>
      </c>
      <c r="N96" s="205">
        <f xml:space="preserve"> InpR!N$105</f>
        <v>0</v>
      </c>
      <c r="O96" s="205">
        <f xml:space="preserve"> InpR!O$105</f>
        <v>0</v>
      </c>
      <c r="P96" s="205">
        <f xml:space="preserve"> InpR!P$105</f>
        <v>0</v>
      </c>
      <c r="Q96" s="205">
        <f xml:space="preserve"> InpR!Q$105</f>
        <v>0</v>
      </c>
      <c r="R96" s="205">
        <f xml:space="preserve"> InpR!R$105</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377</v>
      </c>
      <c r="F99" s="244"/>
      <c r="G99" s="184" t="s">
        <v>235</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8"/>
      <c r="E103" s="7" t="s">
        <v>378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379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380</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ht="12.9" x14ac:dyDescent="0.25">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383</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ht="12.9" x14ac:dyDescent="0.25">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385</v>
      </c>
    </row>
    <row r="121" spans="1:26" x14ac:dyDescent="0.25">
      <c r="C121" s="110" t="s">
        <v>386</v>
      </c>
    </row>
    <row r="122" spans="1:26" x14ac:dyDescent="0.25">
      <c r="C122" s="110" t="s">
        <v>387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388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0</v>
      </c>
      <c r="N128" s="245">
        <f t="shared" si="58"/>
        <v>0</v>
      </c>
      <c r="O128" s="245">
        <f t="shared" si="58"/>
        <v>0</v>
      </c>
      <c r="P128" s="245">
        <f t="shared" si="58"/>
        <v>0</v>
      </c>
      <c r="Q128" s="245">
        <f t="shared" si="58"/>
        <v>0</v>
      </c>
      <c r="R128" s="245">
        <f t="shared" si="58"/>
        <v>0</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389</v>
      </c>
      <c r="G130" s="91" t="s">
        <v>235</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InpR!E$98</f>
        <v>Run-off rate - CPI(H) + RPI wedge - active - DMMY</v>
      </c>
      <c r="F132" s="205">
        <f xml:space="preserve"> InpR!F$98</f>
        <v>0</v>
      </c>
      <c r="G132" s="223" t="str">
        <f xml:space="preserve"> InpR!G$98</f>
        <v>%</v>
      </c>
      <c r="H132" s="205" t="str">
        <f xml:space="preserve"> InpR!I$98</f>
        <v>PR19 Financial model, 'F_OutputsMaster' sheet row 966, PR19FM2103POST</v>
      </c>
      <c r="I132" s="205" t="e">
        <f xml:space="preserve"> InpR!#REF!</f>
        <v>#REF!</v>
      </c>
      <c r="J132" s="205">
        <f xml:space="preserve"> InpR!J$98</f>
        <v>0</v>
      </c>
      <c r="K132" s="205">
        <f xml:space="preserve"> InpR!K$98</f>
        <v>0</v>
      </c>
      <c r="L132" s="205">
        <f xml:space="preserve"> InpR!L$98</f>
        <v>0</v>
      </c>
      <c r="M132" s="205">
        <f xml:space="preserve"> InpR!M$98</f>
        <v>0</v>
      </c>
      <c r="N132" s="205">
        <f xml:space="preserve"> InpR!N$98</f>
        <v>0</v>
      </c>
      <c r="O132" s="205">
        <f xml:space="preserve"> InpR!O$98</f>
        <v>0</v>
      </c>
      <c r="P132" s="205">
        <f xml:space="preserve"> InpR!P$98</f>
        <v>0</v>
      </c>
      <c r="Q132" s="205">
        <f xml:space="preserve"> InpR!Q$98</f>
        <v>0</v>
      </c>
      <c r="R132" s="205">
        <f xml:space="preserve"> InpR!R$98</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0</v>
      </c>
      <c r="N133" s="245">
        <f t="shared" si="62"/>
        <v>0</v>
      </c>
      <c r="O133" s="245">
        <f t="shared" si="62"/>
        <v>0</v>
      </c>
      <c r="P133" s="245">
        <f t="shared" si="62"/>
        <v>0</v>
      </c>
      <c r="Q133" s="245">
        <f t="shared" si="62"/>
        <v>0</v>
      </c>
      <c r="R133" s="245">
        <f t="shared" si="62"/>
        <v>0</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c r="S134" s="92"/>
      <c r="T134" s="92"/>
      <c r="U134" s="92"/>
      <c r="V134" s="92"/>
      <c r="W134" s="92"/>
      <c r="X134" s="92"/>
      <c r="Y134" s="92"/>
      <c r="Z134" s="92"/>
    </row>
    <row r="135" spans="1:16383" x14ac:dyDescent="0.25">
      <c r="C135" s="278"/>
      <c r="E135" s="7" t="s">
        <v>390</v>
      </c>
      <c r="F135" s="247"/>
      <c r="G135" s="162" t="s">
        <v>235</v>
      </c>
      <c r="H135" s="247"/>
      <c r="I135" s="247"/>
      <c r="J135" s="246">
        <f t="shared" ref="J135:R135" si="64" xml:space="preserve"> (J133+J134) * J132</f>
        <v>0</v>
      </c>
      <c r="K135" s="246">
        <f t="shared" si="64"/>
        <v>0</v>
      </c>
      <c r="L135" s="246">
        <f t="shared" si="64"/>
        <v>0</v>
      </c>
      <c r="M135" s="246">
        <f xml:space="preserve"> (M133+M134) * M132</f>
        <v>0</v>
      </c>
      <c r="N135" s="246">
        <f t="shared" si="64"/>
        <v>0</v>
      </c>
      <c r="O135" s="246">
        <f t="shared" si="64"/>
        <v>0</v>
      </c>
      <c r="P135" s="246">
        <f t="shared" si="64"/>
        <v>0</v>
      </c>
      <c r="Q135" s="246">
        <f t="shared" si="64"/>
        <v>0</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InpR!$E$91</f>
        <v>RCV - CPI(H) + RPI wedge initial balance - nominal - DMMY</v>
      </c>
      <c r="F137" s="250">
        <f>InpR!$F$91</f>
        <v>0</v>
      </c>
      <c r="G137" s="249" t="str">
        <f>InpR!$G$91</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391</v>
      </c>
      <c r="G140" s="162" t="s">
        <v>235</v>
      </c>
      <c r="J140" s="242">
        <f t="shared" ref="J140:R140" si="65" xml:space="preserve"> I143</f>
        <v>0</v>
      </c>
      <c r="K140" s="242">
        <f t="shared" si="65"/>
        <v>0</v>
      </c>
      <c r="L140" s="242">
        <f t="shared" si="65"/>
        <v>0</v>
      </c>
      <c r="M140" s="242">
        <f t="shared" si="65"/>
        <v>0</v>
      </c>
      <c r="N140" s="242">
        <f t="shared" si="65"/>
        <v>0</v>
      </c>
      <c r="O140" s="242">
        <f t="shared" si="65"/>
        <v>0</v>
      </c>
      <c r="P140" s="242">
        <f t="shared" si="65"/>
        <v>0</v>
      </c>
      <c r="Q140" s="242">
        <f t="shared" si="65"/>
        <v>0</v>
      </c>
      <c r="R140" s="242">
        <f t="shared" si="65"/>
        <v>0</v>
      </c>
    </row>
    <row r="141" spans="1:16383" x14ac:dyDescent="0.25">
      <c r="A141" s="47"/>
      <c r="B141" s="51"/>
      <c r="C141" s="111"/>
      <c r="D141" s="56" t="s">
        <v>353</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v>
      </c>
      <c r="N141" s="242">
        <f t="shared" si="66"/>
        <v>0</v>
      </c>
      <c r="O141" s="242">
        <f t="shared" si="66"/>
        <v>0</v>
      </c>
      <c r="P141" s="242">
        <f t="shared" si="66"/>
        <v>0</v>
      </c>
      <c r="Q141" s="242">
        <f t="shared" si="66"/>
        <v>0</v>
      </c>
      <c r="R141" s="242">
        <f t="shared" si="66"/>
        <v>0</v>
      </c>
    </row>
    <row r="142" spans="1:16383" x14ac:dyDescent="0.25">
      <c r="A142" s="47"/>
      <c r="B142" s="51"/>
      <c r="C142" s="111"/>
      <c r="D142" s="56" t="s">
        <v>354</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v>
      </c>
      <c r="N142" s="242">
        <f t="shared" si="67"/>
        <v>0</v>
      </c>
      <c r="O142" s="242">
        <f t="shared" si="67"/>
        <v>0</v>
      </c>
      <c r="P142" s="242">
        <f t="shared" si="67"/>
        <v>0</v>
      </c>
      <c r="Q142" s="242">
        <f t="shared" si="67"/>
        <v>0</v>
      </c>
      <c r="R142" s="242">
        <f t="shared" si="67"/>
        <v>0</v>
      </c>
    </row>
    <row r="143" spans="1:16383" s="138" customFormat="1" x14ac:dyDescent="0.25">
      <c r="A143" s="134"/>
      <c r="B143" s="135"/>
      <c r="C143" s="279"/>
      <c r="D143" s="137"/>
      <c r="E143" s="138" t="s">
        <v>392</v>
      </c>
      <c r="G143" s="163" t="s">
        <v>235</v>
      </c>
      <c r="J143" s="243">
        <f t="shared" ref="J143:R143" si="68" xml:space="preserve"> IF( J138 = 1, $F137, J140 + J141 - J142)</f>
        <v>0</v>
      </c>
      <c r="K143" s="243">
        <f t="shared" si="68"/>
        <v>0</v>
      </c>
      <c r="L143" s="243">
        <f t="shared" si="68"/>
        <v>0</v>
      </c>
      <c r="M143" s="243">
        <f t="shared" si="68"/>
        <v>0</v>
      </c>
      <c r="N143" s="243">
        <f t="shared" si="68"/>
        <v>0</v>
      </c>
      <c r="O143" s="243">
        <f t="shared" si="68"/>
        <v>0</v>
      </c>
      <c r="P143" s="243">
        <f t="shared" si="68"/>
        <v>0</v>
      </c>
      <c r="Q143" s="243">
        <f t="shared" si="68"/>
        <v>0</v>
      </c>
      <c r="R143" s="243">
        <f t="shared" si="68"/>
        <v>0</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0</v>
      </c>
      <c r="N145" s="185">
        <f t="shared" si="69"/>
        <v>0</v>
      </c>
      <c r="O145" s="185">
        <f t="shared" si="69"/>
        <v>0</v>
      </c>
      <c r="P145" s="185">
        <f t="shared" si="69"/>
        <v>0</v>
      </c>
      <c r="Q145" s="185">
        <f t="shared" si="69"/>
        <v>0</v>
      </c>
      <c r="R145" s="185">
        <f t="shared" si="69"/>
        <v>0</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v>
      </c>
      <c r="N146" s="184">
        <f t="shared" si="70"/>
        <v>0</v>
      </c>
      <c r="O146" s="184">
        <f t="shared" si="70"/>
        <v>0</v>
      </c>
      <c r="P146" s="184">
        <f t="shared" si="70"/>
        <v>0</v>
      </c>
      <c r="Q146" s="184">
        <f t="shared" si="70"/>
        <v>0</v>
      </c>
      <c r="R146" s="184">
        <f t="shared" si="70"/>
        <v>0</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0</v>
      </c>
      <c r="M147" s="185">
        <f t="shared" si="71"/>
        <v>0</v>
      </c>
      <c r="N147" s="185">
        <f t="shared" si="71"/>
        <v>0</v>
      </c>
      <c r="O147" s="185">
        <f t="shared" si="71"/>
        <v>0</v>
      </c>
      <c r="P147" s="185">
        <f t="shared" si="71"/>
        <v>0</v>
      </c>
      <c r="Q147" s="185">
        <f t="shared" si="71"/>
        <v>0</v>
      </c>
      <c r="R147" s="185">
        <f t="shared" si="71"/>
        <v>0</v>
      </c>
    </row>
    <row r="148" spans="1:26" x14ac:dyDescent="0.25">
      <c r="A148" s="49"/>
      <c r="C148" s="278"/>
      <c r="D148" s="57"/>
      <c r="E148" s="7" t="s">
        <v>393</v>
      </c>
      <c r="F148" s="244"/>
      <c r="G148" s="185" t="s">
        <v>235</v>
      </c>
      <c r="H148" s="244"/>
      <c r="I148" s="244"/>
      <c r="J148" s="185">
        <f t="shared" ref="J148:L148" si="72" xml:space="preserve"> ( (J145+J146) + J147) / 2</f>
        <v>0</v>
      </c>
      <c r="K148" s="185">
        <f t="shared" si="72"/>
        <v>0</v>
      </c>
      <c r="L148" s="185">
        <f t="shared" si="72"/>
        <v>0</v>
      </c>
      <c r="M148" s="185">
        <f xml:space="preserve"> ( (M145+M146) + M147) / 2</f>
        <v>0</v>
      </c>
      <c r="N148" s="185">
        <f t="shared" ref="N148:R148" si="73" xml:space="preserve"> ( (N145+N146) + N147) / 2</f>
        <v>0</v>
      </c>
      <c r="O148" s="185">
        <f t="shared" si="73"/>
        <v>0</v>
      </c>
      <c r="P148" s="185">
        <f t="shared" si="73"/>
        <v>0</v>
      </c>
      <c r="Q148" s="185">
        <f t="shared" si="73"/>
        <v>0</v>
      </c>
      <c r="R148" s="185">
        <f t="shared" si="73"/>
        <v>0</v>
      </c>
    </row>
    <row r="150" spans="1:26" s="205" customFormat="1" x14ac:dyDescent="0.25">
      <c r="A150" s="201"/>
      <c r="B150" s="202"/>
      <c r="C150" s="203"/>
      <c r="D150" s="204"/>
      <c r="E150" s="205" t="str">
        <f xml:space="preserve"> InpR!E$105</f>
        <v>WACC on RCV - CPI(H) + RPI wedge bf and additions - DMMY</v>
      </c>
      <c r="F150" s="205">
        <f xml:space="preserve"> InpR!F$105</f>
        <v>0</v>
      </c>
      <c r="G150" s="223" t="str">
        <f xml:space="preserve"> InpR!G$105</f>
        <v>%</v>
      </c>
      <c r="H150" s="205" t="str">
        <f xml:space="preserve"> InpR!I$105</f>
        <v>PR19 Financial model, 'Dummy Control' sheet row 980</v>
      </c>
      <c r="I150" s="205" t="e">
        <f xml:space="preserve"> InpR!#REF!</f>
        <v>#REF!</v>
      </c>
      <c r="J150" s="205">
        <f xml:space="preserve"> InpR!J$105</f>
        <v>0</v>
      </c>
      <c r="K150" s="205">
        <f xml:space="preserve"> InpR!K$105</f>
        <v>0</v>
      </c>
      <c r="L150" s="205">
        <f xml:space="preserve"> InpR!L$105</f>
        <v>0</v>
      </c>
      <c r="M150" s="205">
        <f xml:space="preserve"> InpR!M$105</f>
        <v>0</v>
      </c>
      <c r="N150" s="205">
        <f xml:space="preserve"> InpR!N$105</f>
        <v>0</v>
      </c>
      <c r="O150" s="205">
        <f xml:space="preserve"> InpR!O$105</f>
        <v>0</v>
      </c>
      <c r="P150" s="205">
        <f xml:space="preserve"> InpR!P$105</f>
        <v>0</v>
      </c>
      <c r="Q150" s="205">
        <f xml:space="preserve"> InpR!Q$105</f>
        <v>0</v>
      </c>
      <c r="R150" s="205">
        <f xml:space="preserve"> InpR!R$105</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0</v>
      </c>
      <c r="M152" s="246">
        <f t="shared" si="74"/>
        <v>0</v>
      </c>
      <c r="N152" s="246">
        <f t="shared" si="74"/>
        <v>0</v>
      </c>
      <c r="O152" s="246">
        <f t="shared" si="74"/>
        <v>0</v>
      </c>
      <c r="P152" s="246">
        <f t="shared" si="74"/>
        <v>0</v>
      </c>
      <c r="Q152" s="246">
        <f t="shared" si="74"/>
        <v>0</v>
      </c>
      <c r="R152" s="246">
        <f t="shared" si="74"/>
        <v>0</v>
      </c>
    </row>
    <row r="153" spans="1:26" x14ac:dyDescent="0.25">
      <c r="C153" s="278"/>
      <c r="E153" s="7" t="s">
        <v>394</v>
      </c>
      <c r="F153" s="244"/>
      <c r="G153" s="184" t="s">
        <v>235</v>
      </c>
      <c r="H153" s="244"/>
      <c r="I153" s="244"/>
      <c r="J153" s="246">
        <f t="shared" ref="J153:K153" si="75">J150*J151*J152</f>
        <v>0</v>
      </c>
      <c r="K153" s="246">
        <f t="shared" si="75"/>
        <v>0</v>
      </c>
      <c r="L153" s="246">
        <f>L150*L151*L152</f>
        <v>0</v>
      </c>
      <c r="M153" s="246">
        <f t="shared" ref="M153:R153" si="76">M150*M151*M152</f>
        <v>0</v>
      </c>
      <c r="N153" s="246">
        <f t="shared" si="76"/>
        <v>0</v>
      </c>
      <c r="O153" s="246">
        <f t="shared" si="76"/>
        <v>0</v>
      </c>
      <c r="P153" s="246">
        <f t="shared" si="76"/>
        <v>0</v>
      </c>
      <c r="Q153" s="246">
        <f t="shared" si="76"/>
        <v>0</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v>
      </c>
      <c r="N155" s="184">
        <f t="shared" si="77"/>
        <v>0</v>
      </c>
      <c r="O155" s="184">
        <f t="shared" si="77"/>
        <v>0</v>
      </c>
      <c r="P155" s="184">
        <f t="shared" si="77"/>
        <v>0</v>
      </c>
      <c r="Q155" s="184">
        <f t="shared" si="77"/>
        <v>0</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v>
      </c>
      <c r="N156" s="184">
        <f t="shared" si="78"/>
        <v>0</v>
      </c>
      <c r="O156" s="184">
        <f t="shared" si="78"/>
        <v>0</v>
      </c>
      <c r="P156" s="184">
        <f t="shared" si="78"/>
        <v>0</v>
      </c>
      <c r="Q156" s="184">
        <f t="shared" si="78"/>
        <v>0</v>
      </c>
      <c r="R156" s="184">
        <f t="shared" si="78"/>
        <v>0</v>
      </c>
    </row>
    <row r="157" spans="1:26" x14ac:dyDescent="0.25">
      <c r="C157" s="278"/>
      <c r="E157" s="7" t="s">
        <v>395</v>
      </c>
      <c r="F157" s="244"/>
      <c r="G157" s="184" t="str">
        <f t="shared" ref="G157" si="79">G$155</f>
        <v>£m</v>
      </c>
      <c r="H157" s="244">
        <f>SUM(J157:R157)</f>
        <v>0</v>
      </c>
      <c r="I157" s="244"/>
      <c r="J157" s="244">
        <f t="shared" ref="J157:R157" si="80">SUM(J155:J156)</f>
        <v>0</v>
      </c>
      <c r="K157" s="244">
        <f t="shared" si="80"/>
        <v>0</v>
      </c>
      <c r="L157" s="244">
        <f>SUM(L155:L156)</f>
        <v>0</v>
      </c>
      <c r="M157" s="244">
        <f t="shared" si="80"/>
        <v>0</v>
      </c>
      <c r="N157" s="244">
        <f t="shared" si="80"/>
        <v>0</v>
      </c>
      <c r="O157" s="244">
        <f t="shared" si="80"/>
        <v>0</v>
      </c>
      <c r="P157" s="244">
        <f t="shared" si="80"/>
        <v>0</v>
      </c>
      <c r="Q157" s="244">
        <f t="shared" si="80"/>
        <v>0</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0</v>
      </c>
      <c r="I159" s="184">
        <f t="shared" si="81"/>
        <v>0</v>
      </c>
      <c r="J159" s="184">
        <f t="shared" si="81"/>
        <v>0</v>
      </c>
      <c r="K159" s="184">
        <f t="shared" si="81"/>
        <v>0</v>
      </c>
      <c r="L159" s="184">
        <f t="shared" si="81"/>
        <v>0</v>
      </c>
      <c r="M159" s="184">
        <f t="shared" si="81"/>
        <v>0</v>
      </c>
      <c r="N159" s="184">
        <f t="shared" si="81"/>
        <v>0</v>
      </c>
      <c r="O159" s="184">
        <f t="shared" si="81"/>
        <v>0</v>
      </c>
      <c r="P159" s="184">
        <f t="shared" si="81"/>
        <v>0</v>
      </c>
      <c r="Q159" s="184">
        <f t="shared" si="81"/>
        <v>0</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0</v>
      </c>
      <c r="I160" s="184">
        <f t="shared" si="82"/>
        <v>0</v>
      </c>
      <c r="J160" s="184">
        <f t="shared" si="82"/>
        <v>0</v>
      </c>
      <c r="K160" s="184">
        <f t="shared" si="82"/>
        <v>0</v>
      </c>
      <c r="L160" s="184">
        <f t="shared" si="82"/>
        <v>0</v>
      </c>
      <c r="M160" s="184">
        <f t="shared" si="82"/>
        <v>0</v>
      </c>
      <c r="N160" s="184">
        <f t="shared" si="82"/>
        <v>0</v>
      </c>
      <c r="O160" s="184">
        <f t="shared" si="82"/>
        <v>0</v>
      </c>
      <c r="P160" s="184">
        <f t="shared" si="82"/>
        <v>0</v>
      </c>
      <c r="Q160" s="184">
        <f t="shared" si="82"/>
        <v>0</v>
      </c>
      <c r="R160" s="184">
        <f t="shared" si="82"/>
        <v>0</v>
      </c>
    </row>
    <row r="161" spans="1:16383" s="185" customFormat="1" x14ac:dyDescent="0.25">
      <c r="A161" s="252"/>
      <c r="B161" s="181"/>
      <c r="C161" s="182"/>
      <c r="D161" s="253"/>
      <c r="E161" s="7" t="s">
        <v>396</v>
      </c>
      <c r="G161" s="185" t="str">
        <f t="shared" ref="G161" si="83" xml:space="preserve"> G$153</f>
        <v>£m</v>
      </c>
      <c r="H161" s="185">
        <f xml:space="preserve"> SUM(J161:R161)</f>
        <v>0</v>
      </c>
      <c r="J161" s="185">
        <f t="shared" ref="J161:K161" si="84">J160-J159</f>
        <v>0</v>
      </c>
      <c r="K161" s="185">
        <f t="shared" si="84"/>
        <v>0</v>
      </c>
      <c r="L161" s="185">
        <f>L160-L159</f>
        <v>0</v>
      </c>
      <c r="M161" s="185">
        <f>M160-M159</f>
        <v>0</v>
      </c>
      <c r="N161" s="185">
        <f t="shared" ref="N161:R161" si="85">N160-N159</f>
        <v>0</v>
      </c>
      <c r="O161" s="185">
        <f t="shared" si="85"/>
        <v>0</v>
      </c>
      <c r="P161" s="185">
        <f t="shared" si="85"/>
        <v>0</v>
      </c>
      <c r="Q161" s="185">
        <f t="shared" si="85"/>
        <v>0</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0</v>
      </c>
      <c r="I163" s="248">
        <f t="shared" si="86"/>
        <v>0</v>
      </c>
      <c r="J163" s="248">
        <f t="shared" si="86"/>
        <v>0</v>
      </c>
      <c r="K163" s="248">
        <f t="shared" si="86"/>
        <v>0</v>
      </c>
      <c r="L163" s="248">
        <f t="shared" si="86"/>
        <v>0</v>
      </c>
      <c r="M163" s="248">
        <f t="shared" si="86"/>
        <v>0</v>
      </c>
      <c r="N163" s="248">
        <f t="shared" si="86"/>
        <v>0</v>
      </c>
      <c r="O163" s="248">
        <f t="shared" si="86"/>
        <v>0</v>
      </c>
      <c r="P163" s="248">
        <f t="shared" si="86"/>
        <v>0</v>
      </c>
      <c r="Q163" s="248">
        <f t="shared" si="86"/>
        <v>0</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v>
      </c>
      <c r="I164" s="248">
        <f t="shared" si="87"/>
        <v>0</v>
      </c>
      <c r="J164" s="248">
        <f t="shared" si="87"/>
        <v>0</v>
      </c>
      <c r="K164" s="248">
        <f t="shared" si="87"/>
        <v>0</v>
      </c>
      <c r="L164" s="248">
        <f t="shared" si="87"/>
        <v>0</v>
      </c>
      <c r="M164" s="248">
        <f t="shared" si="87"/>
        <v>0</v>
      </c>
      <c r="N164" s="248">
        <f t="shared" si="87"/>
        <v>0</v>
      </c>
      <c r="O164" s="248">
        <f t="shared" si="87"/>
        <v>0</v>
      </c>
      <c r="P164" s="248">
        <f t="shared" si="87"/>
        <v>0</v>
      </c>
      <c r="Q164" s="248">
        <f t="shared" si="87"/>
        <v>0</v>
      </c>
      <c r="R164" s="248">
        <f t="shared" si="87"/>
        <v>0</v>
      </c>
      <c r="S164" s="92"/>
      <c r="T164" s="92"/>
      <c r="U164" s="92"/>
      <c r="V164" s="92"/>
      <c r="W164" s="92"/>
      <c r="X164" s="92"/>
      <c r="Y164" s="92"/>
      <c r="Z164" s="92"/>
    </row>
    <row r="165" spans="1:16383" s="211" customFormat="1" x14ac:dyDescent="0.25">
      <c r="A165" s="224"/>
      <c r="B165" s="208"/>
      <c r="C165" s="209"/>
      <c r="D165" s="210"/>
      <c r="E165" s="7" t="s">
        <v>397</v>
      </c>
      <c r="F165" s="225">
        <f>SUM(J165:R165)</f>
        <v>0</v>
      </c>
      <c r="G165" s="211" t="s">
        <v>317</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398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0</v>
      </c>
      <c r="M169" s="185">
        <f t="shared" si="90"/>
        <v>0</v>
      </c>
      <c r="N169" s="184">
        <f t="shared" si="90"/>
        <v>0</v>
      </c>
      <c r="O169" s="184">
        <f t="shared" si="90"/>
        <v>0</v>
      </c>
      <c r="P169" s="184">
        <f t="shared" si="90"/>
        <v>0</v>
      </c>
      <c r="Q169" s="184">
        <f t="shared" si="90"/>
        <v>0</v>
      </c>
      <c r="R169" s="184">
        <f t="shared" si="90"/>
        <v>0</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0</v>
      </c>
      <c r="M170" s="185">
        <f t="shared" si="91"/>
        <v>0</v>
      </c>
      <c r="N170" s="184">
        <f t="shared" si="91"/>
        <v>0</v>
      </c>
      <c r="O170" s="184">
        <f t="shared" si="91"/>
        <v>0</v>
      </c>
      <c r="P170" s="184">
        <f t="shared" si="91"/>
        <v>0</v>
      </c>
      <c r="Q170" s="184">
        <f t="shared" si="91"/>
        <v>0</v>
      </c>
      <c r="R170" s="184">
        <f t="shared" si="91"/>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0</v>
      </c>
      <c r="M172" s="184">
        <f t="shared" si="92"/>
        <v>0</v>
      </c>
      <c r="N172" s="184">
        <f t="shared" si="92"/>
        <v>0</v>
      </c>
      <c r="O172" s="184">
        <f t="shared" si="92"/>
        <v>0</v>
      </c>
      <c r="P172" s="184">
        <f t="shared" si="92"/>
        <v>0</v>
      </c>
      <c r="Q172" s="184">
        <f t="shared" si="92"/>
        <v>0</v>
      </c>
      <c r="R172" s="184">
        <f t="shared" si="92"/>
        <v>0</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0</v>
      </c>
      <c r="M173" s="184">
        <f t="shared" si="92"/>
        <v>0</v>
      </c>
      <c r="N173" s="184">
        <f t="shared" si="92"/>
        <v>0</v>
      </c>
      <c r="O173" s="184">
        <f t="shared" si="92"/>
        <v>0</v>
      </c>
      <c r="P173" s="184">
        <f t="shared" si="92"/>
        <v>0</v>
      </c>
      <c r="Q173" s="184">
        <f t="shared" si="92"/>
        <v>0</v>
      </c>
      <c r="R173" s="184">
        <f t="shared" si="92"/>
        <v>0</v>
      </c>
      <c r="S173" s="92"/>
      <c r="T173" s="92"/>
      <c r="U173" s="92"/>
      <c r="V173" s="92"/>
      <c r="W173" s="92"/>
      <c r="X173" s="92"/>
      <c r="Y173" s="92"/>
      <c r="Z173" s="92"/>
    </row>
    <row r="174" spans="1:16383" s="91" customFormat="1" x14ac:dyDescent="0.25">
      <c r="A174" s="170"/>
      <c r="B174" s="165"/>
      <c r="C174" s="166"/>
      <c r="D174" s="171"/>
      <c r="E174" s="7" t="s">
        <v>399</v>
      </c>
      <c r="F174" s="184"/>
      <c r="G174" s="184" t="s">
        <v>235</v>
      </c>
      <c r="H174" s="244"/>
      <c r="I174" s="184"/>
      <c r="J174" s="185">
        <f>J173-J172</f>
        <v>0</v>
      </c>
      <c r="K174" s="185">
        <f t="shared" ref="K174:R174" si="93">K173-K172</f>
        <v>0</v>
      </c>
      <c r="L174" s="185">
        <f t="shared" si="93"/>
        <v>0</v>
      </c>
      <c r="M174" s="185">
        <f t="shared" si="93"/>
        <v>0</v>
      </c>
      <c r="N174" s="185">
        <f t="shared" si="93"/>
        <v>0</v>
      </c>
      <c r="O174" s="185">
        <f t="shared" si="93"/>
        <v>0</v>
      </c>
      <c r="P174" s="185">
        <f t="shared" si="93"/>
        <v>0</v>
      </c>
      <c r="Q174" s="185">
        <f t="shared" si="93"/>
        <v>0</v>
      </c>
      <c r="R174" s="185">
        <f t="shared" si="93"/>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v>
      </c>
      <c r="N176" s="185">
        <f t="shared" si="94"/>
        <v>0</v>
      </c>
      <c r="O176" s="185">
        <f t="shared" si="94"/>
        <v>0</v>
      </c>
      <c r="P176" s="185">
        <f t="shared" si="94"/>
        <v>0</v>
      </c>
      <c r="Q176" s="185">
        <f t="shared" si="94"/>
        <v>0</v>
      </c>
      <c r="R176" s="185">
        <f t="shared" si="94"/>
        <v>0</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421</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401</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v>
      </c>
      <c r="N182" s="184">
        <f t="shared" si="96"/>
        <v>0</v>
      </c>
      <c r="O182" s="184">
        <f t="shared" si="96"/>
        <v>0</v>
      </c>
      <c r="P182" s="184">
        <f t="shared" si="96"/>
        <v>0</v>
      </c>
      <c r="Q182" s="184">
        <f t="shared" si="96"/>
        <v>0</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v>
      </c>
      <c r="N183" s="184">
        <f t="shared" si="97"/>
        <v>0</v>
      </c>
      <c r="O183" s="184">
        <f t="shared" si="97"/>
        <v>0</v>
      </c>
      <c r="P183" s="184">
        <f t="shared" si="97"/>
        <v>0</v>
      </c>
      <c r="Q183" s="184">
        <f t="shared" si="97"/>
        <v>0</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0</v>
      </c>
      <c r="I184" s="184">
        <f t="shared" si="98"/>
        <v>0</v>
      </c>
      <c r="J184" s="184">
        <f t="shared" si="98"/>
        <v>0</v>
      </c>
      <c r="K184" s="184">
        <f t="shared" si="98"/>
        <v>0</v>
      </c>
      <c r="L184" s="184">
        <f t="shared" si="98"/>
        <v>0</v>
      </c>
      <c r="M184" s="184">
        <f t="shared" si="98"/>
        <v>0</v>
      </c>
      <c r="N184" s="184">
        <f t="shared" si="98"/>
        <v>0</v>
      </c>
      <c r="O184" s="184">
        <f t="shared" si="98"/>
        <v>0</v>
      </c>
      <c r="P184" s="184">
        <f t="shared" si="98"/>
        <v>0</v>
      </c>
      <c r="Q184" s="184">
        <f t="shared" si="98"/>
        <v>0</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v>
      </c>
      <c r="N185" s="184">
        <f t="shared" si="99"/>
        <v>0</v>
      </c>
      <c r="O185" s="184">
        <f t="shared" si="99"/>
        <v>0</v>
      </c>
      <c r="P185" s="184">
        <f t="shared" si="99"/>
        <v>0</v>
      </c>
      <c r="Q185" s="184">
        <f t="shared" si="99"/>
        <v>0</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v>
      </c>
      <c r="N186" s="184">
        <f t="shared" si="100"/>
        <v>0</v>
      </c>
      <c r="O186" s="184">
        <f t="shared" si="100"/>
        <v>0</v>
      </c>
      <c r="P186" s="184">
        <f t="shared" si="100"/>
        <v>0</v>
      </c>
      <c r="Q186" s="184">
        <f t="shared" si="100"/>
        <v>0</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0</v>
      </c>
      <c r="I187" s="184">
        <f t="shared" si="101"/>
        <v>0</v>
      </c>
      <c r="J187" s="184">
        <f t="shared" si="101"/>
        <v>0</v>
      </c>
      <c r="K187" s="184">
        <f t="shared" si="101"/>
        <v>0</v>
      </c>
      <c r="L187" s="184">
        <f t="shared" si="101"/>
        <v>0</v>
      </c>
      <c r="M187" s="184">
        <f t="shared" si="101"/>
        <v>0</v>
      </c>
      <c r="N187" s="184">
        <f t="shared" si="101"/>
        <v>0</v>
      </c>
      <c r="O187" s="184">
        <f t="shared" si="101"/>
        <v>0</v>
      </c>
      <c r="P187" s="184">
        <f t="shared" si="101"/>
        <v>0</v>
      </c>
      <c r="Q187" s="184">
        <f t="shared" si="101"/>
        <v>0</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v>
      </c>
      <c r="I189" s="184"/>
      <c r="J189" s="184">
        <f t="shared" ref="J189:R194" si="105" xml:space="preserve"> IF(J$188 = 0, 0, J182 / J$188)</f>
        <v>0</v>
      </c>
      <c r="K189" s="184">
        <f t="shared" si="105"/>
        <v>0</v>
      </c>
      <c r="L189" s="184">
        <f t="shared" si="105"/>
        <v>0</v>
      </c>
      <c r="M189" s="185">
        <f t="shared" si="105"/>
        <v>0</v>
      </c>
      <c r="N189" s="184">
        <f t="shared" si="105"/>
        <v>0</v>
      </c>
      <c r="O189" s="184">
        <f t="shared" si="105"/>
        <v>0</v>
      </c>
      <c r="P189" s="184">
        <f t="shared" si="105"/>
        <v>0</v>
      </c>
      <c r="Q189" s="184">
        <f t="shared" si="105"/>
        <v>0</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0</v>
      </c>
      <c r="I190" s="184"/>
      <c r="J190" s="184">
        <f t="shared" si="105"/>
        <v>0</v>
      </c>
      <c r="K190" s="184">
        <f t="shared" si="105"/>
        <v>0</v>
      </c>
      <c r="L190" s="184">
        <f t="shared" si="105"/>
        <v>0</v>
      </c>
      <c r="M190" s="185">
        <f t="shared" si="105"/>
        <v>0</v>
      </c>
      <c r="N190" s="184">
        <f xml:space="preserve"> IF(N$188 = 0, 0, N183 / N$188)</f>
        <v>0</v>
      </c>
      <c r="O190" s="184">
        <f t="shared" si="105"/>
        <v>0</v>
      </c>
      <c r="P190" s="184">
        <f t="shared" si="105"/>
        <v>0</v>
      </c>
      <c r="Q190" s="184">
        <f t="shared" si="105"/>
        <v>0</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0</v>
      </c>
      <c r="I191" s="184"/>
      <c r="J191" s="184">
        <f t="shared" si="105"/>
        <v>0</v>
      </c>
      <c r="K191" s="184">
        <f t="shared" si="105"/>
        <v>0</v>
      </c>
      <c r="L191" s="184">
        <f t="shared" si="105"/>
        <v>0</v>
      </c>
      <c r="M191" s="185">
        <f t="shared" si="105"/>
        <v>0</v>
      </c>
      <c r="N191" s="184">
        <f t="shared" si="105"/>
        <v>0</v>
      </c>
      <c r="O191" s="184">
        <f t="shared" si="105"/>
        <v>0</v>
      </c>
      <c r="P191" s="184">
        <f t="shared" si="105"/>
        <v>0</v>
      </c>
      <c r="Q191" s="184">
        <f t="shared" si="105"/>
        <v>0</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0</v>
      </c>
      <c r="I192" s="184"/>
      <c r="J192" s="184">
        <f t="shared" si="105"/>
        <v>0</v>
      </c>
      <c r="K192" s="184">
        <f t="shared" si="105"/>
        <v>0</v>
      </c>
      <c r="L192" s="184">
        <f t="shared" si="105"/>
        <v>0</v>
      </c>
      <c r="M192" s="185">
        <f t="shared" si="105"/>
        <v>0</v>
      </c>
      <c r="N192" s="184">
        <f t="shared" si="105"/>
        <v>0</v>
      </c>
      <c r="O192" s="184">
        <f t="shared" si="105"/>
        <v>0</v>
      </c>
      <c r="P192" s="184">
        <f t="shared" si="105"/>
        <v>0</v>
      </c>
      <c r="Q192" s="184">
        <f t="shared" si="105"/>
        <v>0</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0</v>
      </c>
      <c r="I193" s="184"/>
      <c r="J193" s="184">
        <f t="shared" si="105"/>
        <v>0</v>
      </c>
      <c r="K193" s="184">
        <f t="shared" si="105"/>
        <v>0</v>
      </c>
      <c r="L193" s="184">
        <f t="shared" si="105"/>
        <v>0</v>
      </c>
      <c r="M193" s="185">
        <f t="shared" si="105"/>
        <v>0</v>
      </c>
      <c r="N193" s="184">
        <f t="shared" si="105"/>
        <v>0</v>
      </c>
      <c r="O193" s="184">
        <f t="shared" si="105"/>
        <v>0</v>
      </c>
      <c r="P193" s="184">
        <f t="shared" si="105"/>
        <v>0</v>
      </c>
      <c r="Q193" s="184">
        <f t="shared" si="105"/>
        <v>0</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0</v>
      </c>
      <c r="I194" s="184"/>
      <c r="J194" s="184">
        <f t="shared" si="105"/>
        <v>0</v>
      </c>
      <c r="K194" s="184">
        <f t="shared" si="105"/>
        <v>0</v>
      </c>
      <c r="L194" s="184">
        <f t="shared" si="105"/>
        <v>0</v>
      </c>
      <c r="M194" s="185">
        <f t="shared" si="105"/>
        <v>0</v>
      </c>
      <c r="N194" s="184">
        <f t="shared" si="105"/>
        <v>0</v>
      </c>
      <c r="O194" s="184">
        <f t="shared" si="105"/>
        <v>0</v>
      </c>
      <c r="P194" s="184">
        <f t="shared" si="105"/>
        <v>0</v>
      </c>
      <c r="Q194" s="184">
        <f t="shared" si="105"/>
        <v>0</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0</v>
      </c>
      <c r="I196" s="247">
        <f t="shared" si="106"/>
        <v>0</v>
      </c>
      <c r="J196" s="184">
        <f t="shared" si="106"/>
        <v>0</v>
      </c>
      <c r="K196" s="184">
        <f t="shared" si="106"/>
        <v>0</v>
      </c>
      <c r="L196" s="184">
        <f t="shared" si="106"/>
        <v>0</v>
      </c>
      <c r="M196" s="185">
        <f t="shared" si="106"/>
        <v>0</v>
      </c>
      <c r="N196" s="184">
        <f t="shared" si="106"/>
        <v>0</v>
      </c>
      <c r="O196" s="184">
        <f t="shared" si="106"/>
        <v>0</v>
      </c>
      <c r="P196" s="184">
        <f t="shared" si="106"/>
        <v>0</v>
      </c>
      <c r="Q196" s="184">
        <f t="shared" si="106"/>
        <v>0</v>
      </c>
      <c r="R196" s="184">
        <f t="shared" si="106"/>
        <v>0</v>
      </c>
    </row>
    <row r="197" spans="1:26" x14ac:dyDescent="0.25">
      <c r="E197" s="7" t="str">
        <f>E$192</f>
        <v>RCV run-off company should have received- real</v>
      </c>
      <c r="F197" s="184">
        <f t="shared" ref="F197:R197" si="107">F$192</f>
        <v>0</v>
      </c>
      <c r="G197" s="7" t="str">
        <f t="shared" si="107"/>
        <v>£m</v>
      </c>
      <c r="H197" s="247">
        <f t="shared" si="107"/>
        <v>0</v>
      </c>
      <c r="I197" s="247">
        <f t="shared" si="107"/>
        <v>0</v>
      </c>
      <c r="J197" s="184">
        <f t="shared" si="107"/>
        <v>0</v>
      </c>
      <c r="K197" s="184">
        <f t="shared" si="107"/>
        <v>0</v>
      </c>
      <c r="L197" s="184">
        <f t="shared" si="107"/>
        <v>0</v>
      </c>
      <c r="M197" s="185">
        <f t="shared" si="107"/>
        <v>0</v>
      </c>
      <c r="N197" s="184">
        <f t="shared" si="107"/>
        <v>0</v>
      </c>
      <c r="O197" s="184">
        <f t="shared" si="107"/>
        <v>0</v>
      </c>
      <c r="P197" s="184">
        <f t="shared" si="107"/>
        <v>0</v>
      </c>
      <c r="Q197" s="184">
        <f t="shared" si="107"/>
        <v>0</v>
      </c>
      <c r="R197" s="184">
        <f t="shared" si="107"/>
        <v>0</v>
      </c>
    </row>
    <row r="198" spans="1:26" x14ac:dyDescent="0.25">
      <c r="C198" s="278"/>
      <c r="E198" s="7" t="s">
        <v>402</v>
      </c>
      <c r="G198" s="7" t="s">
        <v>235</v>
      </c>
      <c r="H198" s="185">
        <f xml:space="preserve"> SUM(J198:R198)</f>
        <v>0</v>
      </c>
      <c r="I198" s="185"/>
      <c r="J198" s="184">
        <f t="shared" ref="J198:K198" si="108">J197-J196</f>
        <v>0</v>
      </c>
      <c r="K198" s="184">
        <f t="shared" si="108"/>
        <v>0</v>
      </c>
      <c r="L198" s="184">
        <f>L197-L196</f>
        <v>0</v>
      </c>
      <c r="M198" s="185">
        <f>M197-M196</f>
        <v>0</v>
      </c>
      <c r="N198" s="184">
        <f t="shared" ref="N198:R198" si="109">N197-N196</f>
        <v>0</v>
      </c>
      <c r="O198" s="184">
        <f t="shared" si="109"/>
        <v>0</v>
      </c>
      <c r="P198" s="184">
        <f t="shared" si="109"/>
        <v>0</v>
      </c>
      <c r="Q198" s="184">
        <f t="shared" si="109"/>
        <v>0</v>
      </c>
      <c r="R198" s="184">
        <f t="shared" si="109"/>
        <v>0</v>
      </c>
    </row>
    <row r="200" spans="1:26" x14ac:dyDescent="0.25">
      <c r="E200" s="7" t="str">
        <f>E$190</f>
        <v>True up Nominal return- real</v>
      </c>
      <c r="F200" s="184">
        <f t="shared" ref="F200:R200" si="110">F$190</f>
        <v>0</v>
      </c>
      <c r="G200" s="7" t="str">
        <f t="shared" si="110"/>
        <v>£m</v>
      </c>
      <c r="H200" s="247">
        <f t="shared" si="110"/>
        <v>0</v>
      </c>
      <c r="I200" s="247">
        <f t="shared" si="110"/>
        <v>0</v>
      </c>
      <c r="J200" s="184">
        <f t="shared" si="110"/>
        <v>0</v>
      </c>
      <c r="K200" s="184">
        <f t="shared" si="110"/>
        <v>0</v>
      </c>
      <c r="L200" s="184">
        <f t="shared" si="110"/>
        <v>0</v>
      </c>
      <c r="M200" s="185">
        <f t="shared" si="110"/>
        <v>0</v>
      </c>
      <c r="N200" s="184">
        <f t="shared" si="110"/>
        <v>0</v>
      </c>
      <c r="O200" s="184">
        <f t="shared" si="110"/>
        <v>0</v>
      </c>
      <c r="P200" s="184">
        <f t="shared" si="110"/>
        <v>0</v>
      </c>
      <c r="Q200" s="184">
        <f t="shared" si="110"/>
        <v>0</v>
      </c>
      <c r="R200" s="184">
        <f t="shared" si="110"/>
        <v>0</v>
      </c>
    </row>
    <row r="201" spans="1:26" x14ac:dyDescent="0.25">
      <c r="E201" s="7" t="str">
        <f>E$193</f>
        <v>Nominal return company should have received- real</v>
      </c>
      <c r="F201" s="184">
        <f t="shared" ref="F201:R201" si="111">F$193</f>
        <v>0</v>
      </c>
      <c r="G201" s="7" t="str">
        <f t="shared" si="111"/>
        <v>£m</v>
      </c>
      <c r="H201" s="247">
        <f t="shared" si="111"/>
        <v>0</v>
      </c>
      <c r="I201" s="247">
        <f t="shared" si="111"/>
        <v>0</v>
      </c>
      <c r="J201" s="184">
        <f t="shared" si="111"/>
        <v>0</v>
      </c>
      <c r="K201" s="184">
        <f t="shared" si="111"/>
        <v>0</v>
      </c>
      <c r="L201" s="184">
        <f t="shared" si="111"/>
        <v>0</v>
      </c>
      <c r="M201" s="185">
        <f t="shared" si="111"/>
        <v>0</v>
      </c>
      <c r="N201" s="184">
        <f t="shared" si="111"/>
        <v>0</v>
      </c>
      <c r="O201" s="184">
        <f t="shared" si="111"/>
        <v>0</v>
      </c>
      <c r="P201" s="184">
        <f t="shared" si="111"/>
        <v>0</v>
      </c>
      <c r="Q201" s="184">
        <f t="shared" si="111"/>
        <v>0</v>
      </c>
      <c r="R201" s="184">
        <f t="shared" si="111"/>
        <v>0</v>
      </c>
    </row>
    <row r="202" spans="1:26" x14ac:dyDescent="0.25">
      <c r="C202" s="278"/>
      <c r="E202" s="7" t="s">
        <v>403</v>
      </c>
      <c r="G202" s="7" t="s">
        <v>235</v>
      </c>
      <c r="H202" s="185">
        <f xml:space="preserve"> SUM(J202:R202)</f>
        <v>0</v>
      </c>
      <c r="I202" s="185"/>
      <c r="J202" s="184">
        <f t="shared" ref="J202:K202" si="112">J201-J200</f>
        <v>0</v>
      </c>
      <c r="K202" s="184">
        <f t="shared" si="112"/>
        <v>0</v>
      </c>
      <c r="L202" s="184">
        <f>L201-L200</f>
        <v>0</v>
      </c>
      <c r="M202" s="185">
        <f>M201-M200</f>
        <v>0</v>
      </c>
      <c r="N202" s="184">
        <f t="shared" ref="N202:R202" si="113">N201-N200</f>
        <v>0</v>
      </c>
      <c r="O202" s="184">
        <f>O201-O200</f>
        <v>0</v>
      </c>
      <c r="P202" s="184">
        <f t="shared" si="113"/>
        <v>0</v>
      </c>
      <c r="Q202" s="184">
        <f t="shared" si="113"/>
        <v>0</v>
      </c>
      <c r="R202" s="184">
        <f t="shared" si="113"/>
        <v>0</v>
      </c>
    </row>
    <row r="204" spans="1:26" x14ac:dyDescent="0.25">
      <c r="E204" s="7" t="str">
        <f>E$191</f>
        <v>Total True up Nominal revenue to company- real</v>
      </c>
      <c r="F204" s="184">
        <f t="shared" ref="F204:R204" si="114">F$191</f>
        <v>0</v>
      </c>
      <c r="G204" s="7" t="str">
        <f t="shared" si="114"/>
        <v>£m</v>
      </c>
      <c r="H204" s="247">
        <f t="shared" si="114"/>
        <v>0</v>
      </c>
      <c r="I204" s="247"/>
      <c r="J204" s="184">
        <f t="shared" si="114"/>
        <v>0</v>
      </c>
      <c r="K204" s="184">
        <f t="shared" si="114"/>
        <v>0</v>
      </c>
      <c r="L204" s="184">
        <f t="shared" si="114"/>
        <v>0</v>
      </c>
      <c r="M204" s="185">
        <f t="shared" si="114"/>
        <v>0</v>
      </c>
      <c r="N204" s="184">
        <f t="shared" si="114"/>
        <v>0</v>
      </c>
      <c r="O204" s="184">
        <f t="shared" si="114"/>
        <v>0</v>
      </c>
      <c r="P204" s="184">
        <f t="shared" si="114"/>
        <v>0</v>
      </c>
      <c r="Q204" s="184">
        <f t="shared" si="114"/>
        <v>0</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0</v>
      </c>
      <c r="I205" s="247"/>
      <c r="J205" s="184">
        <f t="shared" si="115"/>
        <v>0</v>
      </c>
      <c r="K205" s="184">
        <f t="shared" si="115"/>
        <v>0</v>
      </c>
      <c r="L205" s="184">
        <f t="shared" si="115"/>
        <v>0</v>
      </c>
      <c r="M205" s="185">
        <f t="shared" si="115"/>
        <v>0</v>
      </c>
      <c r="N205" s="184">
        <f t="shared" si="115"/>
        <v>0</v>
      </c>
      <c r="O205" s="184">
        <f t="shared" si="115"/>
        <v>0</v>
      </c>
      <c r="P205" s="184">
        <f t="shared" si="115"/>
        <v>0</v>
      </c>
      <c r="Q205" s="184">
        <f t="shared" si="115"/>
        <v>0</v>
      </c>
      <c r="R205" s="184">
        <f t="shared" si="115"/>
        <v>0</v>
      </c>
    </row>
    <row r="206" spans="1:26" x14ac:dyDescent="0.25">
      <c r="C206" s="278"/>
      <c r="E206" s="7" t="s">
        <v>404</v>
      </c>
      <c r="G206" s="7" t="s">
        <v>235</v>
      </c>
      <c r="H206" s="185">
        <f xml:space="preserve"> SUM(J206:R206)</f>
        <v>0</v>
      </c>
      <c r="I206" s="185"/>
      <c r="J206" s="184">
        <f t="shared" ref="J206:K206" si="116">J205-J204</f>
        <v>0</v>
      </c>
      <c r="K206" s="184">
        <f t="shared" si="116"/>
        <v>0</v>
      </c>
      <c r="L206" s="184">
        <f>L205-L204</f>
        <v>0</v>
      </c>
      <c r="M206" s="185">
        <f>M205-M204</f>
        <v>0</v>
      </c>
      <c r="N206" s="184">
        <f t="shared" ref="N206:R206" si="117">N205-N204</f>
        <v>0</v>
      </c>
      <c r="O206" s="184">
        <f t="shared" si="117"/>
        <v>0</v>
      </c>
      <c r="P206" s="184">
        <f t="shared" si="117"/>
        <v>0</v>
      </c>
      <c r="Q206" s="184">
        <f t="shared" si="117"/>
        <v>0</v>
      </c>
      <c r="R206" s="184">
        <f t="shared" si="117"/>
        <v>0</v>
      </c>
    </row>
    <row r="208" spans="1:26" x14ac:dyDescent="0.25">
      <c r="B208" s="61" t="s">
        <v>405</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InpR!E$112</f>
        <v>WACC real on RCV - CPI(H) bf and additions - DMMY</v>
      </c>
      <c r="F210" s="205">
        <f>InpR!F$112</f>
        <v>0</v>
      </c>
      <c r="G210" s="223" t="str">
        <f>InpR!G$112</f>
        <v>%</v>
      </c>
      <c r="H210" s="205" t="str">
        <f>InpR!I$112</f>
        <v>PR19 Financial model, 'Dummy Control' sheet row 860</v>
      </c>
      <c r="I210" s="205" t="e">
        <f>InpR!#REF!</f>
        <v>#REF!</v>
      </c>
      <c r="J210" s="205">
        <f>InpR!J$112</f>
        <v>0</v>
      </c>
      <c r="K210" s="205">
        <f>InpR!K$112</f>
        <v>0</v>
      </c>
      <c r="L210" s="205">
        <f>InpR!L$112</f>
        <v>0</v>
      </c>
      <c r="M210" s="205">
        <f>InpR!M$112</f>
        <v>0</v>
      </c>
      <c r="N210" s="205">
        <f>InpR!N$112</f>
        <v>0</v>
      </c>
      <c r="O210" s="205">
        <f>InpR!O$112</f>
        <v>0</v>
      </c>
      <c r="P210" s="205">
        <f>InpR!P$112</f>
        <v>0</v>
      </c>
      <c r="Q210" s="205">
        <f>InpR!Q$112</f>
        <v>0</v>
      </c>
      <c r="R210" s="205">
        <f>InpR!R$112</f>
        <v>0</v>
      </c>
    </row>
    <row r="211" spans="1:18" x14ac:dyDescent="0.25">
      <c r="E211" s="7" t="s">
        <v>406</v>
      </c>
      <c r="G211" s="7" t="s">
        <v>407</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408</v>
      </c>
    </row>
    <row r="214" spans="1:18" x14ac:dyDescent="0.25">
      <c r="E214" s="7" t="str">
        <f>E$198</f>
        <v>Value of True up run-off - real</v>
      </c>
      <c r="F214" s="184">
        <f t="shared" ref="F214:R214" si="119">F$198</f>
        <v>0</v>
      </c>
      <c r="G214" s="7" t="str">
        <f t="shared" si="119"/>
        <v>£m</v>
      </c>
      <c r="H214" s="247">
        <f t="shared" si="119"/>
        <v>0</v>
      </c>
      <c r="I214" s="247">
        <f t="shared" si="119"/>
        <v>0</v>
      </c>
      <c r="J214" s="184">
        <f t="shared" si="119"/>
        <v>0</v>
      </c>
      <c r="K214" s="184">
        <f t="shared" si="119"/>
        <v>0</v>
      </c>
      <c r="L214" s="184">
        <f t="shared" si="119"/>
        <v>0</v>
      </c>
      <c r="M214" s="185">
        <f t="shared" si="119"/>
        <v>0</v>
      </c>
      <c r="N214" s="184">
        <f t="shared" si="119"/>
        <v>0</v>
      </c>
      <c r="O214" s="184">
        <f t="shared" si="119"/>
        <v>0</v>
      </c>
      <c r="P214" s="184">
        <f t="shared" si="119"/>
        <v>0</v>
      </c>
      <c r="Q214" s="184">
        <f t="shared" si="119"/>
        <v>0</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422</v>
      </c>
      <c r="G216" s="34" t="s">
        <v>235</v>
      </c>
      <c r="H216" s="271">
        <f xml:space="preserve"> SUM(J216:R216)</f>
        <v>0</v>
      </c>
      <c r="J216" s="271">
        <f xml:space="preserve"> J214 * J215</f>
        <v>0</v>
      </c>
      <c r="K216" s="271">
        <f t="shared" ref="K216:R216" si="121" xml:space="preserve"> K214 * K215</f>
        <v>0</v>
      </c>
      <c r="L216" s="271">
        <f t="shared" si="121"/>
        <v>0</v>
      </c>
      <c r="M216" s="277">
        <f t="shared" si="121"/>
        <v>0</v>
      </c>
      <c r="N216" s="271">
        <f t="shared" si="121"/>
        <v>0</v>
      </c>
      <c r="O216" s="271">
        <f t="shared" si="121"/>
        <v>0</v>
      </c>
      <c r="P216" s="271">
        <f t="shared" si="121"/>
        <v>0</v>
      </c>
      <c r="Q216" s="271">
        <f t="shared" si="121"/>
        <v>0</v>
      </c>
      <c r="R216" s="271">
        <f t="shared" si="121"/>
        <v>0</v>
      </c>
    </row>
    <row r="218" spans="1:18" x14ac:dyDescent="0.25">
      <c r="B218" s="61" t="s">
        <v>410</v>
      </c>
    </row>
    <row r="219" spans="1:18" x14ac:dyDescent="0.25">
      <c r="E219" s="7" t="str">
        <f>E202</f>
        <v>Value of True up return - real</v>
      </c>
      <c r="F219" s="184">
        <f t="shared" ref="F219:R219" si="122">F202</f>
        <v>0</v>
      </c>
      <c r="G219" s="7" t="str">
        <f t="shared" si="122"/>
        <v>£m</v>
      </c>
      <c r="H219" s="247">
        <f t="shared" si="122"/>
        <v>0</v>
      </c>
      <c r="I219" s="247">
        <f t="shared" si="122"/>
        <v>0</v>
      </c>
      <c r="J219" s="184">
        <f t="shared" si="122"/>
        <v>0</v>
      </c>
      <c r="K219" s="184">
        <f t="shared" si="122"/>
        <v>0</v>
      </c>
      <c r="L219" s="184">
        <f t="shared" si="122"/>
        <v>0</v>
      </c>
      <c r="M219" s="185">
        <f t="shared" si="122"/>
        <v>0</v>
      </c>
      <c r="N219" s="184">
        <f t="shared" si="122"/>
        <v>0</v>
      </c>
      <c r="O219" s="184">
        <f t="shared" si="122"/>
        <v>0</v>
      </c>
      <c r="P219" s="184">
        <f t="shared" si="122"/>
        <v>0</v>
      </c>
      <c r="Q219" s="184">
        <f t="shared" si="122"/>
        <v>0</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423</v>
      </c>
      <c r="G221" s="34" t="s">
        <v>235</v>
      </c>
      <c r="H221" s="271">
        <f xml:space="preserve"> SUM(J221:R221)</f>
        <v>0</v>
      </c>
      <c r="J221" s="271">
        <f xml:space="preserve"> J219 * J220</f>
        <v>0</v>
      </c>
      <c r="K221" s="271">
        <f t="shared" ref="K221:M221" si="124" xml:space="preserve"> K219 * K220</f>
        <v>0</v>
      </c>
      <c r="L221" s="271">
        <f t="shared" si="124"/>
        <v>0</v>
      </c>
      <c r="M221" s="277">
        <f t="shared" si="124"/>
        <v>0</v>
      </c>
      <c r="N221" s="271">
        <f xml:space="preserve"> N219 * N220</f>
        <v>0</v>
      </c>
      <c r="O221" s="271">
        <f t="shared" ref="O221:R221" si="125" xml:space="preserve"> O219 * O220</f>
        <v>0</v>
      </c>
      <c r="P221" s="271">
        <f t="shared" si="125"/>
        <v>0</v>
      </c>
      <c r="Q221" s="271">
        <f t="shared" si="125"/>
        <v>0</v>
      </c>
      <c r="R221" s="271">
        <f t="shared" si="125"/>
        <v>0</v>
      </c>
    </row>
    <row r="223" spans="1:18" ht="12.9" x14ac:dyDescent="0.25">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26" priority="6" stopIfTrue="1" operator="notEqual">
      <formula>0</formula>
    </cfRule>
    <cfRule type="cellIs" dxfId="25" priority="7" stopIfTrue="1" operator="equal">
      <formula>""</formula>
    </cfRule>
  </conditionalFormatting>
  <conditionalFormatting sqref="J3:Z3">
    <cfRule type="cellIs" dxfId="24" priority="8" operator="equal">
      <formula>"Post-Fcst"</formula>
    </cfRule>
    <cfRule type="cellIs" dxfId="23" priority="9" operator="equal">
      <formula>"Forecast"</formula>
    </cfRule>
    <cfRule type="cellIs" dxfId="22" priority="10" operator="equal">
      <formula>"Pre Fcst"</formula>
    </cfRule>
  </conditionalFormatting>
  <conditionalFormatting sqref="F2">
    <cfRule type="cellIs" dxfId="21" priority="4" stopIfTrue="1" operator="notEqual">
      <formula>0</formula>
    </cfRule>
    <cfRule type="cellIs" dxfId="20" priority="5" stopIfTrue="1" operator="equal">
      <formula>""</formula>
    </cfRule>
  </conditionalFormatting>
  <conditionalFormatting sqref="F165">
    <cfRule type="cellIs" dxfId="19" priority="2" stopIfTrue="1" operator="notEqual">
      <formula>0</formula>
    </cfRule>
    <cfRule type="cellIs" dxfId="18"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zoomScaleNormal="100" workbookViewId="0">
      <selection activeCell="H24" sqref="H24:H25"/>
    </sheetView>
  </sheetViews>
  <sheetFormatPr defaultColWidth="0" defaultRowHeight="13.45" x14ac:dyDescent="0.25"/>
  <cols>
    <col min="1" max="1" width="1.81640625" style="50" customWidth="1"/>
    <col min="2" max="2" width="1.81640625" style="61" customWidth="1"/>
    <col min="3" max="3" width="1.81640625" style="110" customWidth="1"/>
    <col min="4" max="4" width="1.81640625" style="55" customWidth="1"/>
    <col min="5" max="5" width="53.26953125" style="7"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25" x14ac:dyDescent="0.45">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424</v>
      </c>
    </row>
    <row r="8" spans="1:26" s="92" customFormat="1" x14ac:dyDescent="0.25">
      <c r="A8" s="164"/>
      <c r="B8" s="165"/>
      <c r="C8" s="166"/>
      <c r="D8" s="167"/>
      <c r="E8" s="30" t="str">
        <f>'Calcs-WR'!E$178</f>
        <v>RCV adjustment at end of period - real - WR</v>
      </c>
      <c r="F8" s="249"/>
      <c r="G8" s="249" t="str">
        <f>'Calcs-WR'!G$178</f>
        <v>£m</v>
      </c>
      <c r="H8" s="281">
        <f>'Calcs-WR'!H$178</f>
        <v>0</v>
      </c>
      <c r="I8" s="281"/>
      <c r="J8" s="281">
        <f>'Calcs-WR'!J$178</f>
        <v>0</v>
      </c>
      <c r="K8" s="281">
        <f>'Calcs-WR'!K$178</f>
        <v>0</v>
      </c>
      <c r="L8" s="281">
        <f>'Calcs-WR'!L$178</f>
        <v>0</v>
      </c>
      <c r="M8" s="281">
        <f>'Calcs-WR'!M$178</f>
        <v>0</v>
      </c>
      <c r="N8" s="281">
        <f>'Calcs-WR'!N$178</f>
        <v>0</v>
      </c>
      <c r="O8" s="281">
        <f>'Calcs-WR'!O$178</f>
        <v>0</v>
      </c>
      <c r="P8" s="281">
        <f>'Calcs-WR'!P$178</f>
        <v>0</v>
      </c>
      <c r="Q8" s="281">
        <f>'Calcs-WR'!Q$178</f>
        <v>4.164475205947781</v>
      </c>
      <c r="R8" s="281">
        <f>'Calcs-WR'!R$178</f>
        <v>0</v>
      </c>
    </row>
    <row r="9" spans="1:26" s="92" customFormat="1" x14ac:dyDescent="0.25">
      <c r="A9" s="164"/>
      <c r="B9" s="165"/>
      <c r="C9" s="166"/>
      <c r="D9" s="167"/>
      <c r="E9" s="30" t="str">
        <f>'Calcs-WR'!E$216</f>
        <v>Revenue adjustment for RCV run-off - real - WR</v>
      </c>
      <c r="F9" s="249"/>
      <c r="G9" s="249" t="str">
        <f>'Calcs-WR'!G$216</f>
        <v>£m</v>
      </c>
      <c r="H9" s="281">
        <f>'Calcs-WR'!H$216</f>
        <v>0.60929619330569151</v>
      </c>
      <c r="I9" s="281"/>
      <c r="J9" s="281">
        <f>'Calcs-WR'!J$216</f>
        <v>0</v>
      </c>
      <c r="K9" s="281">
        <f>'Calcs-WR'!K$216</f>
        <v>0</v>
      </c>
      <c r="L9" s="281">
        <f>'Calcs-WR'!L$216</f>
        <v>0</v>
      </c>
      <c r="M9" s="281">
        <f>'Calcs-WR'!M$216</f>
        <v>-1.9820954910523148E-2</v>
      </c>
      <c r="N9" s="281">
        <f>'Calcs-WR'!N$216</f>
        <v>3.7526088852375773E-2</v>
      </c>
      <c r="O9" s="281">
        <f>'Calcs-WR'!O$216</f>
        <v>0.17355859652710579</v>
      </c>
      <c r="P9" s="281">
        <f>'Calcs-WR'!P$216</f>
        <v>0.20622158279673156</v>
      </c>
      <c r="Q9" s="281">
        <f>'Calcs-WR'!Q$216</f>
        <v>0.21181088004000159</v>
      </c>
      <c r="R9" s="281">
        <f>'Calcs-WR'!R$216</f>
        <v>0</v>
      </c>
    </row>
    <row r="10" spans="1:26" s="92" customFormat="1" x14ac:dyDescent="0.25">
      <c r="A10" s="164"/>
      <c r="B10" s="165"/>
      <c r="C10" s="166"/>
      <c r="D10" s="167"/>
      <c r="E10" s="30" t="str">
        <f>'Calcs-WR'!E$221</f>
        <v>Revenue adjustment for return - real -WR</v>
      </c>
      <c r="F10" s="249"/>
      <c r="G10" s="249" t="str">
        <f>'Calcs-WR'!G$221</f>
        <v>£m</v>
      </c>
      <c r="H10" s="281">
        <f>'Calcs-WR'!H$221</f>
        <v>0.26572252107175048</v>
      </c>
      <c r="I10" s="281"/>
      <c r="J10" s="281">
        <f>'Calcs-WR'!J$221</f>
        <v>0</v>
      </c>
      <c r="K10" s="281">
        <f>'Calcs-WR'!K$221</f>
        <v>0</v>
      </c>
      <c r="L10" s="281">
        <f>'Calcs-WR'!L$221</f>
        <v>0</v>
      </c>
      <c r="M10" s="281">
        <f>'Calcs-WR'!M$221</f>
        <v>-8.6441933607016175E-3</v>
      </c>
      <c r="N10" s="281">
        <f>'Calcs-WR'!N$221</f>
        <v>1.6365647849719445E-2</v>
      </c>
      <c r="O10" s="281">
        <f>'Calcs-WR'!O$221</f>
        <v>7.569131126955729E-2</v>
      </c>
      <c r="P10" s="281">
        <f>'Calcs-WR'!P$221</f>
        <v>8.993609262984778E-2</v>
      </c>
      <c r="Q10" s="281">
        <f>'Calcs-WR'!Q$221</f>
        <v>9.2373662683327584E-2</v>
      </c>
      <c r="R10" s="281">
        <f>'Calcs-WR'!R$221</f>
        <v>0</v>
      </c>
    </row>
    <row r="11" spans="1:26" s="92" customFormat="1" x14ac:dyDescent="0.25">
      <c r="A11" s="164"/>
      <c r="B11" s="165"/>
      <c r="C11" s="166"/>
      <c r="D11" s="167"/>
      <c r="E11" s="30"/>
      <c r="F11" s="249"/>
      <c r="G11" s="249"/>
      <c r="H11" s="281"/>
      <c r="I11" s="281"/>
      <c r="J11" s="281"/>
      <c r="K11" s="281"/>
      <c r="L11" s="281"/>
      <c r="M11" s="281"/>
      <c r="N11" s="281"/>
      <c r="O11" s="281"/>
      <c r="P11" s="281"/>
      <c r="Q11" s="281"/>
      <c r="R11" s="281"/>
    </row>
    <row r="12" spans="1:26" x14ac:dyDescent="0.25">
      <c r="B12" s="61" t="s">
        <v>425</v>
      </c>
    </row>
    <row r="13" spans="1:26" s="92" customFormat="1" x14ac:dyDescent="0.25">
      <c r="A13" s="164"/>
      <c r="B13" s="165"/>
      <c r="C13" s="166"/>
      <c r="D13" s="167"/>
      <c r="E13" s="30" t="str">
        <f>'Calcs-WN'!E$178</f>
        <v>RCV adjustment at end of period - real -WN</v>
      </c>
      <c r="F13" s="249"/>
      <c r="G13" s="249" t="str">
        <f>'Calcs-WN'!G$178</f>
        <v>£m</v>
      </c>
      <c r="H13" s="281">
        <f>'Calcs-WN'!H$178</f>
        <v>0</v>
      </c>
      <c r="I13" s="281"/>
      <c r="J13" s="281">
        <f>'Calcs-WN'!J$178</f>
        <v>0</v>
      </c>
      <c r="K13" s="281">
        <f>'Calcs-WN'!K$178</f>
        <v>0</v>
      </c>
      <c r="L13" s="281">
        <f>'Calcs-WN'!L$178</f>
        <v>0</v>
      </c>
      <c r="M13" s="281">
        <f>'Calcs-WN'!M$178</f>
        <v>0</v>
      </c>
      <c r="N13" s="281">
        <f>'Calcs-WN'!N$178</f>
        <v>0</v>
      </c>
      <c r="O13" s="281">
        <f>'Calcs-WN'!O$178</f>
        <v>0</v>
      </c>
      <c r="P13" s="281">
        <f>'Calcs-WN'!P$178</f>
        <v>0</v>
      </c>
      <c r="Q13" s="281">
        <f>'Calcs-WN'!Q$178</f>
        <v>61.727155927703734</v>
      </c>
      <c r="R13" s="281">
        <f>'Calcs-WN'!R$178</f>
        <v>0</v>
      </c>
    </row>
    <row r="14" spans="1:26" s="92" customFormat="1" x14ac:dyDescent="0.25">
      <c r="A14" s="164"/>
      <c r="B14" s="165"/>
      <c r="C14" s="166"/>
      <c r="D14" s="167"/>
      <c r="E14" s="30" t="str">
        <f>'Calcs-WN'!E$216</f>
        <v>Revenue adjustment for RCV run-off - real - WN</v>
      </c>
      <c r="F14" s="249"/>
      <c r="G14" s="249" t="str">
        <f>'Calcs-WN'!G$216</f>
        <v>£m</v>
      </c>
      <c r="H14" s="281">
        <f>'Calcs-WN'!H$216</f>
        <v>7.0069474276163062</v>
      </c>
      <c r="I14" s="281"/>
      <c r="J14" s="281">
        <f>'Calcs-WN'!J$216</f>
        <v>0</v>
      </c>
      <c r="K14" s="281">
        <f>'Calcs-WN'!K$216</f>
        <v>0</v>
      </c>
      <c r="L14" s="281">
        <f>'Calcs-WN'!L$216</f>
        <v>0</v>
      </c>
      <c r="M14" s="281">
        <f>'Calcs-WN'!M$216</f>
        <v>-0.22045340944484959</v>
      </c>
      <c r="N14" s="281">
        <f>'Calcs-WN'!N$216</f>
        <v>0.42198529233371412</v>
      </c>
      <c r="O14" s="281">
        <f>'Calcs-WN'!O$216</f>
        <v>1.9732490724163478</v>
      </c>
      <c r="P14" s="281">
        <f>'Calcs-WN'!P$216</f>
        <v>2.3705092773769176</v>
      </c>
      <c r="Q14" s="281">
        <f>'Calcs-WN'!Q$216</f>
        <v>2.4616571949341761</v>
      </c>
      <c r="R14" s="281">
        <f>'Calcs-WN'!R$216</f>
        <v>0</v>
      </c>
    </row>
    <row r="15" spans="1:26" s="92" customFormat="1" x14ac:dyDescent="0.25">
      <c r="A15" s="164"/>
      <c r="B15" s="165"/>
      <c r="C15" s="166"/>
      <c r="D15" s="167"/>
      <c r="E15" s="30" t="str">
        <f>'Calcs-WN'!E$221</f>
        <v>Revenue adjustment for return - real - WN</v>
      </c>
      <c r="F15" s="249"/>
      <c r="G15" s="249" t="str">
        <f>'Calcs-WN'!G$221</f>
        <v>£m</v>
      </c>
      <c r="H15" s="281">
        <f>'Calcs-WN'!H$221</f>
        <v>3.8973143429569213</v>
      </c>
      <c r="I15" s="281"/>
      <c r="J15" s="281">
        <f>'Calcs-WN'!J$221</f>
        <v>0</v>
      </c>
      <c r="K15" s="281">
        <f>'Calcs-WN'!K$221</f>
        <v>0</v>
      </c>
      <c r="L15" s="281">
        <f>'Calcs-WN'!L$221</f>
        <v>0</v>
      </c>
      <c r="M15" s="281">
        <f>'Calcs-WN'!M$221</f>
        <v>-0.122617765219268</v>
      </c>
      <c r="N15" s="281">
        <f>'Calcs-WN'!N$221</f>
        <v>0.23471124185222061</v>
      </c>
      <c r="O15" s="281">
        <f>'Calcs-WN'!O$221</f>
        <v>1.0975352664763609</v>
      </c>
      <c r="P15" s="281">
        <f>'Calcs-WN'!P$221</f>
        <v>1.3184942376507072</v>
      </c>
      <c r="Q15" s="281">
        <f>'Calcs-WN'!Q$221</f>
        <v>1.3691913621969007</v>
      </c>
      <c r="R15" s="281">
        <f>'Calcs-WN'!R$221</f>
        <v>0</v>
      </c>
    </row>
    <row r="16" spans="1:26" s="92" customFormat="1" x14ac:dyDescent="0.25">
      <c r="A16" s="164"/>
      <c r="B16" s="165"/>
      <c r="C16" s="166"/>
      <c r="D16" s="167"/>
      <c r="E16" s="30"/>
      <c r="F16" s="249"/>
      <c r="G16" s="249"/>
      <c r="H16" s="281"/>
      <c r="I16" s="281"/>
      <c r="J16" s="281"/>
      <c r="K16" s="281"/>
      <c r="L16" s="281"/>
      <c r="M16" s="281"/>
      <c r="N16" s="281"/>
      <c r="O16" s="281"/>
      <c r="P16" s="281"/>
      <c r="Q16" s="281"/>
      <c r="R16" s="281"/>
    </row>
    <row r="17" spans="1:18" x14ac:dyDescent="0.25">
      <c r="B17" s="61" t="s">
        <v>426</v>
      </c>
    </row>
    <row r="18" spans="1:18" s="92" customFormat="1" x14ac:dyDescent="0.25">
      <c r="A18" s="164"/>
      <c r="B18" s="165"/>
      <c r="C18" s="166"/>
      <c r="D18" s="167"/>
      <c r="E18" s="30" t="str">
        <f>'Calcs-WWN'!E$178</f>
        <v>RCV adjustment at end of period - real - WWN</v>
      </c>
      <c r="F18" s="249"/>
      <c r="G18" s="249" t="str">
        <f>'Calcs-WWN'!G$178</f>
        <v>£m</v>
      </c>
      <c r="H18" s="281">
        <f>'Calcs-WWN'!H$178</f>
        <v>0</v>
      </c>
      <c r="I18" s="281"/>
      <c r="J18" s="281">
        <f>'Calcs-WWN'!J$178</f>
        <v>0</v>
      </c>
      <c r="K18" s="281">
        <f>'Calcs-WWN'!K$178</f>
        <v>0</v>
      </c>
      <c r="L18" s="281">
        <f>'Calcs-WWN'!L$178</f>
        <v>0</v>
      </c>
      <c r="M18" s="281">
        <f>'Calcs-WWN'!M$178</f>
        <v>0</v>
      </c>
      <c r="N18" s="281">
        <f>'Calcs-WWN'!N$178</f>
        <v>0</v>
      </c>
      <c r="O18" s="281">
        <f>'Calcs-WWN'!O$178</f>
        <v>0</v>
      </c>
      <c r="P18" s="281">
        <f>'Calcs-WWN'!P$178</f>
        <v>0</v>
      </c>
      <c r="Q18" s="281">
        <f>'Calcs-WWN'!Q$178</f>
        <v>93.565394917991625</v>
      </c>
      <c r="R18" s="281">
        <f>'Calcs-WWN'!R$178</f>
        <v>0</v>
      </c>
    </row>
    <row r="19" spans="1:18" s="92" customFormat="1" x14ac:dyDescent="0.25">
      <c r="A19" s="164"/>
      <c r="B19" s="165"/>
      <c r="C19" s="166"/>
      <c r="D19" s="167"/>
      <c r="E19" s="30" t="str">
        <f>'Calcs-WWN'!E$216</f>
        <v>Revenue adjustment for RCV run-off - real - WWN</v>
      </c>
      <c r="F19" s="249"/>
      <c r="G19" s="249" t="str">
        <f>'Calcs-WWN'!G$216</f>
        <v>£m</v>
      </c>
      <c r="H19" s="281">
        <f>'Calcs-WWN'!H$216</f>
        <v>13.979407153435037</v>
      </c>
      <c r="I19" s="281"/>
      <c r="J19" s="281">
        <f>'Calcs-WWN'!J$216</f>
        <v>0</v>
      </c>
      <c r="K19" s="281">
        <f>'Calcs-WWN'!K$216</f>
        <v>0</v>
      </c>
      <c r="L19" s="281">
        <f>'Calcs-WWN'!L$216</f>
        <v>0</v>
      </c>
      <c r="M19" s="281">
        <f>'Calcs-WWN'!M$216</f>
        <v>-0.45618321021183056</v>
      </c>
      <c r="N19" s="281">
        <f>'Calcs-WWN'!N$216</f>
        <v>0.86278390114311998</v>
      </c>
      <c r="O19" s="281">
        <f>'Calcs-WWN'!O$216</f>
        <v>3.9862897861980655</v>
      </c>
      <c r="P19" s="281">
        <f>'Calcs-WWN'!P$216</f>
        <v>4.7316309080444423</v>
      </c>
      <c r="Q19" s="281">
        <f>'Calcs-WWN'!Q$216</f>
        <v>4.8548857682612407</v>
      </c>
      <c r="R19" s="281">
        <f>'Calcs-WWN'!R$216</f>
        <v>0</v>
      </c>
    </row>
    <row r="20" spans="1:18" s="92" customFormat="1" x14ac:dyDescent="0.25">
      <c r="A20" s="164"/>
      <c r="B20" s="165"/>
      <c r="C20" s="166"/>
      <c r="D20" s="167"/>
      <c r="E20" s="30" t="str">
        <f>'Calcs-WWN'!E$221</f>
        <v>Revenue adjustment for return - real - WWN</v>
      </c>
      <c r="F20" s="249"/>
      <c r="G20" s="249" t="str">
        <f>'Calcs-WWN'!G$221</f>
        <v>£m</v>
      </c>
      <c r="H20" s="281">
        <f>'Calcs-WWN'!H$221</f>
        <v>5.9760314796567142</v>
      </c>
      <c r="I20" s="281"/>
      <c r="J20" s="281">
        <f>'Calcs-WWN'!J$221</f>
        <v>0</v>
      </c>
      <c r="K20" s="281">
        <f>'Calcs-WWN'!K$221</f>
        <v>0</v>
      </c>
      <c r="L20" s="281">
        <f>'Calcs-WWN'!L$221</f>
        <v>0</v>
      </c>
      <c r="M20" s="281">
        <f>'Calcs-WWN'!M$221</f>
        <v>-0.19501293544103654</v>
      </c>
      <c r="N20" s="281">
        <f>'Calcs-WWN'!N$221</f>
        <v>0.36882992939406734</v>
      </c>
      <c r="O20" s="281">
        <f>'Calcs-WWN'!O$221</f>
        <v>1.704091810753225</v>
      </c>
      <c r="P20" s="281">
        <f>'Calcs-WWN'!P$221</f>
        <v>2.0227163388428893</v>
      </c>
      <c r="Q20" s="281">
        <f>'Calcs-WWN'!Q$221</f>
        <v>2.0754063361075694</v>
      </c>
      <c r="R20" s="281">
        <f>'Calcs-WWN'!R$221</f>
        <v>0</v>
      </c>
    </row>
    <row r="21" spans="1:18" s="92" customFormat="1" x14ac:dyDescent="0.25">
      <c r="A21" s="164"/>
      <c r="B21" s="165"/>
      <c r="C21" s="166"/>
      <c r="D21" s="167"/>
      <c r="E21" s="30"/>
      <c r="F21" s="249"/>
      <c r="G21" s="249"/>
      <c r="H21" s="281"/>
      <c r="I21" s="281"/>
      <c r="J21" s="281"/>
      <c r="K21" s="281"/>
      <c r="L21" s="281"/>
      <c r="M21" s="281"/>
      <c r="N21" s="281"/>
      <c r="O21" s="281"/>
      <c r="P21" s="281"/>
      <c r="Q21" s="281"/>
      <c r="R21" s="281"/>
    </row>
    <row r="22" spans="1:18" x14ac:dyDescent="0.25">
      <c r="B22" s="61" t="s">
        <v>427</v>
      </c>
    </row>
    <row r="23" spans="1:18" s="92" customFormat="1" x14ac:dyDescent="0.25">
      <c r="A23" s="164"/>
      <c r="B23" s="165"/>
      <c r="C23" s="166"/>
      <c r="D23" s="167"/>
      <c r="E23" s="30" t="str">
        <f>'Calcs-BR'!E$178</f>
        <v>RCV adjustment at end of period - real - BR</v>
      </c>
      <c r="F23" s="249"/>
      <c r="G23" s="249" t="str">
        <f>'Calcs-BR'!G$178</f>
        <v>£m</v>
      </c>
      <c r="H23" s="281">
        <f>'Calcs-BR'!H$178</f>
        <v>0</v>
      </c>
      <c r="I23" s="281"/>
      <c r="J23" s="281">
        <f>'Calcs-BR'!J$178</f>
        <v>0</v>
      </c>
      <c r="K23" s="281">
        <f>'Calcs-BR'!K$178</f>
        <v>0</v>
      </c>
      <c r="L23" s="281">
        <f>'Calcs-BR'!L$178</f>
        <v>0</v>
      </c>
      <c r="M23" s="281">
        <f>'Calcs-BR'!M$178</f>
        <v>0</v>
      </c>
      <c r="N23" s="281">
        <f>'Calcs-BR'!N$178</f>
        <v>0</v>
      </c>
      <c r="O23" s="281">
        <f>'Calcs-BR'!O$178</f>
        <v>0</v>
      </c>
      <c r="P23" s="281">
        <f>'Calcs-BR'!P$178</f>
        <v>0</v>
      </c>
      <c r="Q23" s="281">
        <f>'Calcs-BR'!Q$178</f>
        <v>6.5848955015473507</v>
      </c>
      <c r="R23" s="281">
        <f>'Calcs-BR'!R$178</f>
        <v>0</v>
      </c>
    </row>
    <row r="24" spans="1:18" s="92" customFormat="1" x14ac:dyDescent="0.25">
      <c r="A24" s="164"/>
      <c r="B24" s="165"/>
      <c r="C24" s="166"/>
      <c r="D24" s="167"/>
      <c r="E24" s="30" t="str">
        <f>'Calcs-BR'!E$216</f>
        <v>Revenue adjustment for RCV run-off - real - BR</v>
      </c>
      <c r="F24" s="249"/>
      <c r="G24" s="249" t="str">
        <f>'Calcs-BR'!G$216</f>
        <v>£m</v>
      </c>
      <c r="H24" s="281">
        <f>'Calcs-BR'!H$216</f>
        <v>1.1841992193133359</v>
      </c>
      <c r="I24" s="281"/>
      <c r="J24" s="281">
        <f>'Calcs-BR'!J$216</f>
        <v>0</v>
      </c>
      <c r="K24" s="281">
        <f>'Calcs-BR'!K$216</f>
        <v>0</v>
      </c>
      <c r="L24" s="281">
        <f>'Calcs-BR'!L$216</f>
        <v>0</v>
      </c>
      <c r="M24" s="281">
        <f>'Calcs-BR'!M$216</f>
        <v>-3.9830798098488558E-2</v>
      </c>
      <c r="N24" s="281">
        <f>'Calcs-BR'!N$216</f>
        <v>7.4584599748307445E-2</v>
      </c>
      <c r="O24" s="281">
        <f>'Calcs-BR'!O$216</f>
        <v>0.34117988342125322</v>
      </c>
      <c r="P24" s="281">
        <f>'Calcs-BR'!P$216</f>
        <v>0.40095241043521357</v>
      </c>
      <c r="Q24" s="281">
        <f>'Calcs-BR'!Q$216</f>
        <v>0.4073131238070502</v>
      </c>
      <c r="R24" s="281">
        <f>'Calcs-BR'!R$216</f>
        <v>0</v>
      </c>
    </row>
    <row r="25" spans="1:18" s="92" customFormat="1" x14ac:dyDescent="0.25">
      <c r="A25" s="164"/>
      <c r="B25" s="165"/>
      <c r="C25" s="166"/>
      <c r="D25" s="167"/>
      <c r="E25" s="30" t="str">
        <f>'Calcs-BR'!E$221</f>
        <v>Revenue adjustment for return - real - BR</v>
      </c>
      <c r="F25" s="249"/>
      <c r="G25" s="249" t="str">
        <f>'Calcs-BR'!G$221</f>
        <v>£m</v>
      </c>
      <c r="H25" s="281">
        <f>'Calcs-BR'!H$221</f>
        <v>0.42465196457456927</v>
      </c>
      <c r="I25" s="281"/>
      <c r="J25" s="281">
        <f>'Calcs-BR'!J$221</f>
        <v>0</v>
      </c>
      <c r="K25" s="281">
        <f>'Calcs-BR'!K$221</f>
        <v>0</v>
      </c>
      <c r="L25" s="281">
        <f>'Calcs-BR'!L$221</f>
        <v>0</v>
      </c>
      <c r="M25" s="281">
        <f>'Calcs-BR'!M$221</f>
        <v>-1.428326111623761E-2</v>
      </c>
      <c r="N25" s="281">
        <f>'Calcs-BR'!N$221</f>
        <v>2.6745919346655506E-2</v>
      </c>
      <c r="O25" s="281">
        <f>'Calcs-BR'!O$221</f>
        <v>0.12234656585246512</v>
      </c>
      <c r="P25" s="281">
        <f>'Calcs-BR'!P$221</f>
        <v>0.14378089937515118</v>
      </c>
      <c r="Q25" s="281">
        <f>'Calcs-BR'!Q$221</f>
        <v>0.14606184111653508</v>
      </c>
      <c r="R25" s="281">
        <f>'Calcs-BR'!R$221</f>
        <v>0</v>
      </c>
    </row>
    <row r="26" spans="1:18" s="92" customFormat="1" x14ac:dyDescent="0.25">
      <c r="A26" s="164"/>
      <c r="B26" s="165"/>
      <c r="C26" s="166"/>
      <c r="D26" s="167"/>
      <c r="E26" s="30"/>
      <c r="F26" s="249"/>
      <c r="G26" s="249"/>
      <c r="H26" s="281"/>
      <c r="I26" s="281"/>
      <c r="J26" s="281"/>
      <c r="K26" s="281"/>
      <c r="L26" s="281"/>
      <c r="M26" s="281"/>
      <c r="N26" s="281"/>
      <c r="O26" s="281"/>
      <c r="P26" s="281"/>
      <c r="Q26" s="281"/>
      <c r="R26" s="281"/>
    </row>
    <row r="27" spans="1:18" x14ac:dyDescent="0.25">
      <c r="B27" s="61" t="s">
        <v>428</v>
      </c>
    </row>
    <row r="28" spans="1:18" s="92" customFormat="1" x14ac:dyDescent="0.25">
      <c r="A28" s="164"/>
      <c r="B28" s="165"/>
      <c r="C28" s="166"/>
      <c r="D28" s="167"/>
      <c r="E28" s="30" t="str">
        <f>'Calcs-DMMY'!E$178</f>
        <v>RCV adjustment at end of period - real - DMMY</v>
      </c>
      <c r="F28" s="249"/>
      <c r="G28" s="249" t="str">
        <f>'Calcs-DMMY'!G$178</f>
        <v>£m</v>
      </c>
      <c r="H28" s="281">
        <f>'Calcs-DMMY'!H$178</f>
        <v>0</v>
      </c>
      <c r="I28" s="281"/>
      <c r="J28" s="281">
        <f>'Calcs-DMMY'!J$178</f>
        <v>0</v>
      </c>
      <c r="K28" s="281">
        <f>'Calcs-DMMY'!K$178</f>
        <v>0</v>
      </c>
      <c r="L28" s="281">
        <f>'Calcs-DMMY'!L$178</f>
        <v>0</v>
      </c>
      <c r="M28" s="281">
        <f>'Calcs-DMMY'!M$178</f>
        <v>0</v>
      </c>
      <c r="N28" s="281">
        <f>'Calcs-DMMY'!N$178</f>
        <v>0</v>
      </c>
      <c r="O28" s="281">
        <f>'Calcs-DMMY'!O$178</f>
        <v>0</v>
      </c>
      <c r="P28" s="281">
        <f>'Calcs-DMMY'!P$178</f>
        <v>0</v>
      </c>
      <c r="Q28" s="281">
        <f>'Calcs-DMMY'!Q$178</f>
        <v>0</v>
      </c>
      <c r="R28" s="281">
        <f>'Calcs-DMMY'!R$178</f>
        <v>0</v>
      </c>
    </row>
    <row r="29" spans="1:18" s="92" customFormat="1" x14ac:dyDescent="0.25">
      <c r="A29" s="164"/>
      <c r="B29" s="165"/>
      <c r="C29" s="166"/>
      <c r="D29" s="167"/>
      <c r="E29" s="30" t="str">
        <f>'Calcs-DMMY'!E$216</f>
        <v>Revenue adjustment for RCV run-off - real - DMMY</v>
      </c>
      <c r="F29" s="249"/>
      <c r="G29" s="249" t="str">
        <f>'Calcs-DMMY'!G$216</f>
        <v>£m</v>
      </c>
      <c r="H29" s="281">
        <f>'Calcs-DMMY'!H$216</f>
        <v>0</v>
      </c>
      <c r="I29" s="281"/>
      <c r="J29" s="281">
        <f>'Calcs-DMMY'!J$216</f>
        <v>0</v>
      </c>
      <c r="K29" s="281">
        <f>'Calcs-DMMY'!K$216</f>
        <v>0</v>
      </c>
      <c r="L29" s="281">
        <f>'Calcs-DMMY'!L$216</f>
        <v>0</v>
      </c>
      <c r="M29" s="281">
        <f>'Calcs-DMMY'!M$216</f>
        <v>0</v>
      </c>
      <c r="N29" s="281">
        <f>'Calcs-DMMY'!N$216</f>
        <v>0</v>
      </c>
      <c r="O29" s="281">
        <f>'Calcs-DMMY'!O$216</f>
        <v>0</v>
      </c>
      <c r="P29" s="281">
        <f>'Calcs-DMMY'!P$216</f>
        <v>0</v>
      </c>
      <c r="Q29" s="281">
        <f>'Calcs-DMMY'!Q$216</f>
        <v>0</v>
      </c>
      <c r="R29" s="281">
        <f>'Calcs-DMMY'!R$216</f>
        <v>0</v>
      </c>
    </row>
    <row r="30" spans="1:18" s="92" customFormat="1" x14ac:dyDescent="0.25">
      <c r="A30" s="164"/>
      <c r="B30" s="165"/>
      <c r="C30" s="166"/>
      <c r="D30" s="167"/>
      <c r="E30" s="30" t="str">
        <f>'Calcs-DMMY'!E$221</f>
        <v>Revenue adjustment for return - real - DMMY</v>
      </c>
      <c r="F30" s="249"/>
      <c r="G30" s="249" t="str">
        <f>'Calcs-DMMY'!G$221</f>
        <v>£m</v>
      </c>
      <c r="H30" s="281">
        <f>'Calcs-DMMY'!H$221</f>
        <v>0</v>
      </c>
      <c r="I30" s="281"/>
      <c r="J30" s="281">
        <f>'Calcs-DMMY'!J$221</f>
        <v>0</v>
      </c>
      <c r="K30" s="281">
        <f>'Calcs-DMMY'!K$221</f>
        <v>0</v>
      </c>
      <c r="L30" s="281">
        <f>'Calcs-DMMY'!L$221</f>
        <v>0</v>
      </c>
      <c r="M30" s="281">
        <f>'Calcs-DMMY'!M$221</f>
        <v>0</v>
      </c>
      <c r="N30" s="281">
        <f>'Calcs-DMMY'!N$221</f>
        <v>0</v>
      </c>
      <c r="O30" s="281">
        <f>'Calcs-DMMY'!O$221</f>
        <v>0</v>
      </c>
      <c r="P30" s="281">
        <f>'Calcs-DMMY'!P$221</f>
        <v>0</v>
      </c>
      <c r="Q30" s="281">
        <f>'Calcs-DMMY'!Q$221</f>
        <v>0</v>
      </c>
      <c r="R30" s="281">
        <f>'Calcs-DMMY'!R$221</f>
        <v>0</v>
      </c>
    </row>
    <row r="31" spans="1:18" s="92" customFormat="1" x14ac:dyDescent="0.25">
      <c r="A31" s="164"/>
      <c r="B31" s="165"/>
      <c r="C31" s="166"/>
      <c r="D31" s="167"/>
      <c r="E31" s="30"/>
      <c r="F31" s="249"/>
      <c r="G31" s="249"/>
      <c r="H31" s="281"/>
      <c r="I31" s="281"/>
      <c r="J31" s="281"/>
      <c r="K31" s="281"/>
      <c r="L31" s="281"/>
      <c r="M31" s="281"/>
      <c r="N31" s="281"/>
      <c r="O31" s="281"/>
      <c r="P31" s="281"/>
      <c r="Q31" s="281"/>
      <c r="R31" s="281"/>
    </row>
    <row r="32" spans="1:18" ht="12.9" x14ac:dyDescent="0.25">
      <c r="A32" s="10" t="s">
        <v>114</v>
      </c>
      <c r="B32" s="1"/>
      <c r="C32" s="1"/>
      <c r="D32" s="1"/>
      <c r="E32" s="1"/>
      <c r="F32" s="1"/>
      <c r="G32" s="1"/>
      <c r="H32" s="1"/>
      <c r="I32" s="1"/>
      <c r="J32" s="1"/>
      <c r="K32" s="1"/>
      <c r="L32" s="1"/>
      <c r="M32" s="1"/>
      <c r="N32" s="1"/>
      <c r="O32" s="1"/>
      <c r="P32" s="1"/>
      <c r="Q32" s="1"/>
      <c r="R32" s="1"/>
    </row>
    <row r="34" spans="10:18" x14ac:dyDescent="0.25">
      <c r="J34" s="281"/>
      <c r="K34" s="281"/>
      <c r="L34" s="281"/>
      <c r="M34" s="281"/>
      <c r="N34" s="281"/>
      <c r="O34" s="281"/>
      <c r="P34" s="281"/>
      <c r="Q34" s="281"/>
      <c r="R34" s="281"/>
    </row>
    <row r="35" spans="10:18" x14ac:dyDescent="0.25">
      <c r="J35" s="281"/>
      <c r="K35" s="281"/>
      <c r="L35" s="281"/>
      <c r="M35" s="281"/>
      <c r="N35" s="281"/>
      <c r="O35" s="281"/>
      <c r="P35" s="281"/>
      <c r="Q35" s="281"/>
      <c r="R35" s="281"/>
    </row>
    <row r="36" spans="10:18" x14ac:dyDescent="0.25">
      <c r="J36" s="281"/>
      <c r="K36" s="281"/>
      <c r="L36" s="281"/>
      <c r="M36" s="281"/>
      <c r="N36" s="281"/>
      <c r="O36" s="281"/>
      <c r="P36" s="281"/>
      <c r="Q36" s="281"/>
      <c r="R36" s="281"/>
    </row>
  </sheetData>
  <conditionalFormatting sqref="J3:Z3">
    <cfRule type="cellIs" dxfId="17" priority="8" operator="equal">
      <formula>"Post-Fcst"</formula>
    </cfRule>
    <cfRule type="cellIs" dxfId="16" priority="9" operator="equal">
      <formula>"Forecast"</formula>
    </cfRule>
    <cfRule type="cellIs" dxfId="15" priority="10" operator="equal">
      <formula>"Pre Fcst"</formula>
    </cfRule>
  </conditionalFormatting>
  <conditionalFormatting sqref="F2">
    <cfRule type="cellIs" dxfId="14" priority="4" stopIfTrue="1" operator="notEqual">
      <formula>0</formula>
    </cfRule>
    <cfRule type="cellIs" dxfId="13" priority="5" stopIfTrue="1" operator="equal">
      <formula>""</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heetViews>
  <sheetFormatPr defaultColWidth="0" defaultRowHeight="12.9" x14ac:dyDescent="0.25"/>
  <cols>
    <col min="1" max="1" width="1.453125" style="5" customWidth="1"/>
    <col min="2" max="3" width="1.453125" style="9" customWidth="1"/>
    <col min="4" max="4" width="1.453125" style="6" customWidth="1"/>
    <col min="5" max="5" width="48" style="7" bestFit="1" customWidth="1"/>
    <col min="6" max="6" width="12.54296875" style="7" customWidth="1"/>
    <col min="7" max="8" width="11.54296875" style="7" customWidth="1"/>
    <col min="9" max="9" width="2.54296875" style="7" customWidth="1"/>
    <col min="10" max="18" width="11.54296875" style="7" customWidth="1"/>
    <col min="19" max="79" width="11.54296875" style="7" hidden="1" customWidth="1"/>
    <col min="80" max="16384" width="0" style="7" hidden="1"/>
  </cols>
  <sheetData>
    <row r="1" spans="1:26" s="122" customFormat="1" ht="25.25" x14ac:dyDescent="0.45">
      <c r="A1" s="118" t="str">
        <f ca="1" xml:space="preserve"> RIGHT(CELL("filename", $A$1), LEN(CELL("filename", $A$1)) - SEARCH("]", CELL("filename", $A$1)))</f>
        <v>Checks</v>
      </c>
      <c r="B1" s="119"/>
      <c r="C1" s="120"/>
      <c r="D1" s="121"/>
      <c r="S1" s="123"/>
      <c r="T1" s="123"/>
      <c r="U1" s="123"/>
      <c r="V1" s="123"/>
      <c r="W1" s="123"/>
      <c r="X1" s="123"/>
      <c r="Y1" s="123"/>
      <c r="Z1" s="123"/>
    </row>
    <row r="2" spans="1:26" s="28" customFormat="1" ht="13.45" x14ac:dyDescent="0.25">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ht="13.45"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ht="13.45"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ht="13.45" x14ac:dyDescent="0.25">
      <c r="B5" s="60"/>
      <c r="C5" s="109"/>
      <c r="D5" s="54"/>
      <c r="E5" s="21" t="str">
        <f>Time!E$11</f>
        <v>Model column counter</v>
      </c>
      <c r="F5" s="5" t="s">
        <v>132</v>
      </c>
      <c r="G5" s="5" t="s">
        <v>133</v>
      </c>
      <c r="H5" s="5" t="s">
        <v>134</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429</v>
      </c>
    </row>
    <row r="9" spans="1:26" x14ac:dyDescent="0.25">
      <c r="E9" s="7" t="s">
        <v>430</v>
      </c>
      <c r="F9" s="29">
        <f>SUM(F11:F20)</f>
        <v>0</v>
      </c>
      <c r="G9" s="7" t="s">
        <v>431</v>
      </c>
    </row>
    <row r="11" spans="1:26" s="12" customFormat="1" x14ac:dyDescent="0.25">
      <c r="A11" s="15"/>
      <c r="B11" s="14"/>
      <c r="C11" s="14"/>
      <c r="D11" s="13"/>
      <c r="E11" s="12" t="s">
        <v>432</v>
      </c>
      <c r="F11" s="12" t="s">
        <v>433</v>
      </c>
    </row>
    <row r="13" spans="1:26" x14ac:dyDescent="0.25">
      <c r="E13" s="7" t="str">
        <f xml:space="preserve"> Time!E$78</f>
        <v>Modelling Period Check</v>
      </c>
      <c r="F13" s="33">
        <f xml:space="preserve"> Time!F$78</f>
        <v>0</v>
      </c>
      <c r="G13" s="7" t="str">
        <f xml:space="preserve"> Time!G$78</f>
        <v>check</v>
      </c>
    </row>
    <row r="14" spans="1:26" x14ac:dyDescent="0.25">
      <c r="E14" s="7" t="str">
        <f>'Calcs-WR'!E$165 &amp; "-WR"</f>
        <v>True-up correctly calculates revenue adjustment-WR</v>
      </c>
      <c r="F14" s="33">
        <f>'Calcs-WR'!F$165</f>
        <v>0</v>
      </c>
      <c r="G14" s="7" t="str">
        <f>'Calcs-WR'!G$165</f>
        <v>check</v>
      </c>
    </row>
    <row r="15" spans="1:26" x14ac:dyDescent="0.25">
      <c r="E15" s="7" t="str">
        <f>'Calcs-WN'!E$165 &amp; "-WN"</f>
        <v>True-up correctly calculates revenue adjustment-WN</v>
      </c>
      <c r="F15" s="33">
        <f>'Calcs-WN'!F$165</f>
        <v>0</v>
      </c>
      <c r="G15" s="7" t="str">
        <f>'Calcs-WN'!G$165</f>
        <v>check</v>
      </c>
    </row>
    <row r="16" spans="1:26" x14ac:dyDescent="0.25">
      <c r="E16" s="7" t="str">
        <f>'Calcs-WWN'!E$165 &amp; "-WWN"</f>
        <v>True-up correctly calculates revenue adjustment-WWN</v>
      </c>
      <c r="F16" s="33">
        <f>'Calcs-WWN'!F$165</f>
        <v>0</v>
      </c>
      <c r="G16" s="7" t="str">
        <f>'Calcs-WWN'!G$165</f>
        <v>check</v>
      </c>
    </row>
    <row r="17" spans="1:7" x14ac:dyDescent="0.25">
      <c r="E17" s="7" t="str">
        <f>'Calcs-BR'!E$165 &amp; "-BR"</f>
        <v>True-up correctly calculates revenue adjustment-BR</v>
      </c>
      <c r="F17" s="33">
        <f>'Calcs-BR'!F$165</f>
        <v>0</v>
      </c>
      <c r="G17" s="7" t="str">
        <f>'Calcs-BR'!G$165</f>
        <v>check</v>
      </c>
    </row>
    <row r="18" spans="1:7" x14ac:dyDescent="0.25">
      <c r="E18" s="7" t="str">
        <f>'Calcs-DMMY'!E$165 &amp; "-DMMY"</f>
        <v>True-up correctly calculates revenue adjustment-DMMY</v>
      </c>
      <c r="F18" s="33">
        <f>'Calcs-DMMY'!F$165</f>
        <v>0</v>
      </c>
      <c r="G18" s="7" t="str">
        <f>'Calcs-DMMY'!G$165</f>
        <v>check</v>
      </c>
    </row>
    <row r="20" spans="1:7" s="12" customFormat="1" x14ac:dyDescent="0.25">
      <c r="A20" s="15"/>
      <c r="B20" s="14"/>
      <c r="C20" s="14"/>
      <c r="D20" s="13"/>
      <c r="E20" s="12" t="s">
        <v>432</v>
      </c>
      <c r="F20" s="12" t="s">
        <v>434</v>
      </c>
    </row>
    <row r="22" spans="1:7" s="1" customFormat="1" x14ac:dyDescent="0.25">
      <c r="A22" s="10" t="s">
        <v>114</v>
      </c>
    </row>
  </sheetData>
  <conditionalFormatting sqref="F13 F15">
    <cfRule type="cellIs" dxfId="12" priority="28" stopIfTrue="1" operator="notEqual">
      <formula>0</formula>
    </cfRule>
    <cfRule type="cellIs" dxfId="11" priority="29" stopIfTrue="1" operator="equal">
      <formula>""</formula>
    </cfRule>
  </conditionalFormatting>
  <conditionalFormatting sqref="F9">
    <cfRule type="cellIs" dxfId="10" priority="26" stopIfTrue="1" operator="notEqual">
      <formula>0</formula>
    </cfRule>
    <cfRule type="cellIs" dxfId="9" priority="27" stopIfTrue="1" operator="equal">
      <formula>""</formula>
    </cfRule>
  </conditionalFormatting>
  <conditionalFormatting sqref="J3:Z3">
    <cfRule type="cellIs" dxfId="8" priority="16" operator="equal">
      <formula>"Post-Fcst"</formula>
    </cfRule>
    <cfRule type="cellIs" dxfId="7" priority="17" operator="equal">
      <formula>"Forecast"</formula>
    </cfRule>
    <cfRule type="cellIs" dxfId="6" priority="18" operator="equal">
      <formula>"Pre Fcst"</formula>
    </cfRule>
  </conditionalFormatting>
  <conditionalFormatting sqref="F2">
    <cfRule type="cellIs" dxfId="5" priority="12" stopIfTrue="1" operator="notEqual">
      <formula>0</formula>
    </cfRule>
    <cfRule type="cellIs" dxfId="4" priority="13" stopIfTrue="1" operator="equal">
      <formula>""</formula>
    </cfRule>
  </conditionalFormatting>
  <conditionalFormatting sqref="F14">
    <cfRule type="cellIs" dxfId="3" priority="3" stopIfTrue="1" operator="notEqual">
      <formula>0</formula>
    </cfRule>
    <cfRule type="cellIs" dxfId="2" priority="4" stopIfTrue="1" operator="equal">
      <formula>""</formula>
    </cfRule>
  </conditionalFormatting>
  <conditionalFormatting sqref="F16:F18">
    <cfRule type="cellIs" dxfId="1" priority="1" stopIfTrue="1" operator="notEqual">
      <formula>0</formula>
    </cfRule>
    <cfRule type="cellIs" dxfId="0" priority="2" stopIfTrue="1" operator="equal">
      <formula>""</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2.9" zeroHeight="1" x14ac:dyDescent="0.25"/>
  <cols>
    <col min="1" max="4" width="2.54296875" customWidth="1"/>
    <col min="5" max="5" width="36.81640625" bestFit="1" customWidth="1"/>
    <col min="6" max="6" width="5.54296875" customWidth="1"/>
    <col min="7" max="8" width="9.1796875" customWidth="1"/>
    <col min="9" max="9" width="94.1796875" customWidth="1"/>
    <col min="10" max="16383" width="9.1796875" hidden="1"/>
    <col min="16384" max="16384" width="12.453125" hidden="1" customWidth="1"/>
  </cols>
  <sheetData>
    <row r="1" spans="1:9" s="122" customFormat="1" ht="25.25" x14ac:dyDescent="0.45">
      <c r="A1" s="118" t="str">
        <f ca="1" xml:space="preserve"> RIGHT(CELL("filename", $A$1), LEN(CELL("filename", $A$1)) - SEARCH("]", CELL("filename", $A$1)))</f>
        <v>Style Guide</v>
      </c>
    </row>
    <row r="2" spans="1:9" x14ac:dyDescent="0.25"/>
    <row r="3" spans="1:9" x14ac:dyDescent="0.25"/>
    <row r="4" spans="1:9" x14ac:dyDescent="0.25">
      <c r="A4" s="139" t="s">
        <v>55</v>
      </c>
      <c r="B4" s="139"/>
      <c r="C4" s="140"/>
      <c r="D4" s="141"/>
      <c r="E4" s="139"/>
      <c r="F4" s="139"/>
      <c r="G4" s="139"/>
      <c r="H4" s="139"/>
      <c r="I4" s="139"/>
    </row>
    <row r="5" spans="1:9" x14ac:dyDescent="0.25">
      <c r="A5" s="5"/>
      <c r="B5" s="5"/>
      <c r="C5" s="9"/>
      <c r="D5" s="6"/>
      <c r="E5" s="7"/>
      <c r="F5" s="7"/>
      <c r="G5" s="7"/>
      <c r="H5" s="7"/>
      <c r="I5" s="7"/>
    </row>
    <row r="6" spans="1:9" x14ac:dyDescent="0.25">
      <c r="A6" s="5"/>
      <c r="B6" s="5"/>
      <c r="C6" s="9"/>
      <c r="D6" s="6"/>
      <c r="E6" s="142" t="s">
        <v>56</v>
      </c>
      <c r="F6" s="7"/>
      <c r="G6" s="7" t="s">
        <v>57</v>
      </c>
      <c r="H6" s="7"/>
      <c r="I6" s="7"/>
    </row>
    <row r="7" spans="1:9" x14ac:dyDescent="0.25">
      <c r="A7" s="5"/>
      <c r="B7" s="5"/>
      <c r="C7" s="9"/>
      <c r="D7" s="6"/>
      <c r="E7" s="143"/>
      <c r="F7" s="7"/>
      <c r="G7" s="7"/>
      <c r="H7" s="7"/>
      <c r="I7" s="7"/>
    </row>
    <row r="8" spans="1:9" x14ac:dyDescent="0.25">
      <c r="A8" s="5"/>
      <c r="B8" s="5"/>
      <c r="C8" s="9"/>
      <c r="D8" s="6"/>
      <c r="E8" s="144" t="s">
        <v>58</v>
      </c>
      <c r="F8" s="7"/>
      <c r="G8" s="7" t="s">
        <v>59</v>
      </c>
      <c r="H8" s="7"/>
      <c r="I8" s="7"/>
    </row>
    <row r="9" spans="1:9" x14ac:dyDescent="0.25">
      <c r="A9" s="5"/>
      <c r="B9" s="5"/>
      <c r="C9" s="9"/>
      <c r="D9" s="6"/>
      <c r="E9" s="143"/>
      <c r="F9" s="7"/>
      <c r="G9" s="7"/>
      <c r="H9" s="7"/>
      <c r="I9" s="7"/>
    </row>
    <row r="10" spans="1:9" x14ac:dyDescent="0.25">
      <c r="A10" s="5"/>
      <c r="B10" s="5"/>
      <c r="C10" s="9"/>
      <c r="D10" s="6"/>
      <c r="E10" s="145" t="s">
        <v>60</v>
      </c>
      <c r="F10" s="7"/>
      <c r="G10" s="7" t="s">
        <v>61</v>
      </c>
      <c r="H10" s="7"/>
      <c r="I10" s="7"/>
    </row>
    <row r="11" spans="1:9" x14ac:dyDescent="0.25">
      <c r="A11" s="5"/>
      <c r="B11" s="5"/>
      <c r="C11" s="9"/>
      <c r="D11" s="6"/>
      <c r="E11" s="143"/>
      <c r="F11" s="7"/>
      <c r="G11" s="7"/>
      <c r="H11" s="7"/>
      <c r="I11" s="7"/>
    </row>
    <row r="12" spans="1:9" x14ac:dyDescent="0.25">
      <c r="A12" s="5"/>
      <c r="B12" s="5"/>
      <c r="C12" s="9"/>
      <c r="D12" s="6"/>
      <c r="E12" s="146" t="s">
        <v>62</v>
      </c>
      <c r="F12" s="7"/>
      <c r="G12" s="7" t="s">
        <v>63</v>
      </c>
      <c r="H12" s="7"/>
      <c r="I12" s="7"/>
    </row>
    <row r="13" spans="1:9" x14ac:dyDescent="0.25">
      <c r="A13" s="5"/>
      <c r="B13" s="5"/>
      <c r="C13" s="9"/>
      <c r="D13" s="6"/>
      <c r="E13" s="143"/>
      <c r="F13" s="7"/>
      <c r="G13" s="7"/>
      <c r="H13" s="7"/>
      <c r="I13" s="7"/>
    </row>
    <row r="14" spans="1:9" x14ac:dyDescent="0.25">
      <c r="A14" s="5"/>
      <c r="B14" s="5"/>
      <c r="C14" s="9"/>
      <c r="D14" s="6"/>
      <c r="E14" s="147" t="s">
        <v>64</v>
      </c>
      <c r="F14" s="7"/>
      <c r="G14" s="7" t="s">
        <v>65</v>
      </c>
      <c r="H14" s="7"/>
      <c r="I14" s="7"/>
    </row>
    <row r="15" spans="1:9" x14ac:dyDescent="0.25">
      <c r="A15" s="5"/>
      <c r="B15" s="5"/>
      <c r="C15" s="9"/>
      <c r="D15" s="6"/>
      <c r="E15" s="7"/>
      <c r="F15" s="7"/>
      <c r="G15" s="7"/>
      <c r="H15" s="7"/>
      <c r="I15" s="7"/>
    </row>
    <row r="16" spans="1:9" x14ac:dyDescent="0.25">
      <c r="A16" s="5"/>
      <c r="B16" s="5"/>
      <c r="C16" s="9"/>
      <c r="D16" s="6"/>
      <c r="E16" s="7"/>
      <c r="F16" s="7"/>
      <c r="G16" s="7"/>
      <c r="H16" s="7"/>
      <c r="I16" s="7"/>
    </row>
    <row r="17" spans="1:9" x14ac:dyDescent="0.25">
      <c r="A17" s="139" t="s">
        <v>66</v>
      </c>
      <c r="B17" s="139"/>
      <c r="C17" s="140"/>
      <c r="D17" s="141"/>
      <c r="E17" s="139"/>
      <c r="F17" s="139"/>
      <c r="G17" s="139"/>
      <c r="H17" s="139"/>
      <c r="I17" s="139"/>
    </row>
    <row r="18" spans="1:9" x14ac:dyDescent="0.25">
      <c r="A18" s="5"/>
      <c r="B18" s="5"/>
      <c r="C18" s="9"/>
      <c r="D18" s="6"/>
      <c r="E18" s="7"/>
      <c r="F18" s="7"/>
      <c r="G18" s="7"/>
      <c r="H18" s="7"/>
      <c r="I18" s="7"/>
    </row>
    <row r="19" spans="1:9" x14ac:dyDescent="0.25">
      <c r="A19" s="5"/>
      <c r="B19" s="5" t="s">
        <v>67</v>
      </c>
      <c r="C19" s="9"/>
      <c r="D19" s="6"/>
      <c r="E19" s="7"/>
      <c r="F19" s="7"/>
      <c r="G19" s="7"/>
      <c r="H19" s="7"/>
      <c r="I19" s="7"/>
    </row>
    <row r="20" spans="1:9" x14ac:dyDescent="0.25">
      <c r="A20" s="5"/>
      <c r="B20" s="5"/>
      <c r="C20" s="9"/>
      <c r="D20" s="6"/>
      <c r="E20" s="37" t="s">
        <v>68</v>
      </c>
      <c r="F20" s="7"/>
      <c r="G20" s="7" t="s">
        <v>69</v>
      </c>
      <c r="H20" s="7"/>
      <c r="I20" s="7"/>
    </row>
    <row r="21" spans="1:9" x14ac:dyDescent="0.25">
      <c r="A21" s="5"/>
      <c r="B21" s="5"/>
      <c r="C21" s="9"/>
      <c r="D21" s="6"/>
      <c r="E21" s="7"/>
      <c r="F21" s="7"/>
      <c r="G21" s="7"/>
      <c r="H21" s="7"/>
      <c r="I21" s="7"/>
    </row>
    <row r="22" spans="1:9" x14ac:dyDescent="0.25">
      <c r="A22" s="5"/>
      <c r="B22" s="5"/>
      <c r="C22" s="9"/>
      <c r="D22" s="6"/>
      <c r="E22" s="2" t="s">
        <v>70</v>
      </c>
      <c r="F22" s="7"/>
      <c r="G22" s="7" t="s">
        <v>71</v>
      </c>
      <c r="H22" s="7"/>
      <c r="I22" s="7"/>
    </row>
    <row r="23" spans="1:9" x14ac:dyDescent="0.25">
      <c r="A23" s="5"/>
      <c r="B23" s="5"/>
      <c r="C23" s="9"/>
      <c r="D23" s="6"/>
      <c r="E23" s="7"/>
      <c r="F23" s="7"/>
      <c r="G23" s="7"/>
      <c r="H23" s="7"/>
      <c r="I23" s="7"/>
    </row>
    <row r="24" spans="1:9" x14ac:dyDescent="0.25">
      <c r="A24" s="5"/>
      <c r="B24" s="5"/>
      <c r="C24" s="9"/>
      <c r="D24" s="6"/>
      <c r="E24" s="7" t="s">
        <v>72</v>
      </c>
      <c r="F24" s="7"/>
      <c r="G24" s="7" t="s">
        <v>73</v>
      </c>
      <c r="H24" s="7"/>
      <c r="I24" s="7"/>
    </row>
    <row r="25" spans="1:9" x14ac:dyDescent="0.25">
      <c r="A25" s="5"/>
      <c r="B25" s="5"/>
      <c r="C25" s="9"/>
      <c r="D25" s="6"/>
      <c r="E25" s="7"/>
      <c r="F25" s="7"/>
      <c r="G25" s="7"/>
      <c r="H25" s="7"/>
      <c r="I25" s="7"/>
    </row>
    <row r="26" spans="1:9" x14ac:dyDescent="0.25">
      <c r="A26" s="5"/>
      <c r="B26" s="5" t="s">
        <v>74</v>
      </c>
      <c r="C26" s="9"/>
      <c r="D26" s="6"/>
      <c r="E26" s="7"/>
      <c r="F26" s="7"/>
      <c r="G26" s="7"/>
      <c r="H26" s="7"/>
      <c r="I26" s="7"/>
    </row>
    <row r="27" spans="1:9" x14ac:dyDescent="0.25">
      <c r="A27" s="5"/>
      <c r="B27" s="5"/>
      <c r="C27" s="9"/>
      <c r="D27" s="6"/>
      <c r="E27" s="148" t="s">
        <v>75</v>
      </c>
      <c r="F27" s="7"/>
      <c r="G27" s="7" t="s">
        <v>76</v>
      </c>
      <c r="H27" s="7"/>
      <c r="I27" s="7"/>
    </row>
    <row r="28" spans="1:9" x14ac:dyDescent="0.25">
      <c r="A28" s="5"/>
      <c r="B28" s="5"/>
      <c r="C28" s="9"/>
      <c r="D28" s="6"/>
      <c r="E28" s="7"/>
      <c r="F28" s="7"/>
      <c r="G28" s="7"/>
      <c r="H28" s="7"/>
      <c r="I28" s="7"/>
    </row>
    <row r="29" spans="1:9" x14ac:dyDescent="0.25">
      <c r="A29" s="5"/>
      <c r="B29" s="5"/>
      <c r="C29" s="9"/>
      <c r="D29" s="6"/>
      <c r="E29" s="149" t="s">
        <v>77</v>
      </c>
      <c r="F29" s="7"/>
      <c r="G29" s="7" t="s">
        <v>78</v>
      </c>
      <c r="H29" s="7"/>
      <c r="I29" s="7"/>
    </row>
    <row r="30" spans="1:9" x14ac:dyDescent="0.25">
      <c r="A30" s="5"/>
      <c r="B30" s="5"/>
      <c r="C30" s="9"/>
      <c r="D30" s="6"/>
      <c r="E30" s="7"/>
      <c r="F30" s="7"/>
      <c r="G30" s="7"/>
      <c r="H30" s="7"/>
      <c r="I30" s="7"/>
    </row>
    <row r="31" spans="1:9" x14ac:dyDescent="0.25">
      <c r="A31" s="5"/>
      <c r="B31" s="5"/>
      <c r="C31" s="9"/>
      <c r="D31" s="6"/>
      <c r="E31" s="150" t="s">
        <v>79</v>
      </c>
      <c r="F31" s="7"/>
      <c r="G31" s="7" t="s">
        <v>80</v>
      </c>
      <c r="H31" s="7"/>
      <c r="I31" s="7"/>
    </row>
    <row r="32" spans="1:9" x14ac:dyDescent="0.25">
      <c r="A32" s="5"/>
      <c r="B32" s="5"/>
      <c r="C32" s="9"/>
      <c r="D32" s="6"/>
      <c r="E32" s="7"/>
      <c r="F32" s="7"/>
      <c r="G32" s="7"/>
      <c r="H32" s="7"/>
      <c r="I32" s="7"/>
    </row>
    <row r="33" spans="1:9" x14ac:dyDescent="0.25">
      <c r="A33" s="5"/>
      <c r="B33" s="5"/>
      <c r="C33" s="9"/>
      <c r="D33" s="6"/>
      <c r="E33" s="149" t="s">
        <v>81</v>
      </c>
      <c r="F33" s="7"/>
      <c r="G33" s="7" t="s">
        <v>82</v>
      </c>
      <c r="H33" s="7"/>
      <c r="I33" s="7"/>
    </row>
    <row r="34" spans="1:9" x14ac:dyDescent="0.25">
      <c r="A34" s="5"/>
      <c r="B34" s="5"/>
      <c r="C34" s="9"/>
      <c r="D34" s="6"/>
      <c r="E34" s="7"/>
      <c r="F34" s="7"/>
      <c r="G34" s="7"/>
      <c r="H34" s="7"/>
      <c r="I34" s="7"/>
    </row>
    <row r="35" spans="1:9" x14ac:dyDescent="0.25">
      <c r="A35" s="5"/>
      <c r="B35" s="5" t="s">
        <v>83</v>
      </c>
      <c r="C35" s="9"/>
      <c r="D35" s="6"/>
      <c r="E35" s="7"/>
      <c r="F35" s="7"/>
      <c r="G35" s="7"/>
      <c r="H35" s="7"/>
      <c r="I35" s="7"/>
    </row>
    <row r="36" spans="1:9" x14ac:dyDescent="0.25">
      <c r="A36" s="5"/>
      <c r="B36" s="5"/>
      <c r="C36" s="9"/>
      <c r="D36" s="6"/>
      <c r="E36" s="151" t="s">
        <v>84</v>
      </c>
      <c r="F36" s="7"/>
      <c r="G36" s="7" t="s">
        <v>85</v>
      </c>
      <c r="H36" s="7"/>
      <c r="I36" s="7"/>
    </row>
    <row r="37" spans="1:9" x14ac:dyDescent="0.25">
      <c r="A37" s="5"/>
      <c r="B37" s="5"/>
      <c r="C37" s="9"/>
      <c r="D37" s="6"/>
      <c r="E37" s="7"/>
      <c r="F37" s="7"/>
      <c r="G37" s="7"/>
      <c r="H37" s="7"/>
      <c r="I37" s="7"/>
    </row>
    <row r="38" spans="1:9" x14ac:dyDescent="0.25">
      <c r="A38" s="5"/>
      <c r="B38" s="5"/>
      <c r="C38" s="9"/>
      <c r="D38" s="6"/>
      <c r="E38" s="3" t="s">
        <v>86</v>
      </c>
      <c r="F38" s="7"/>
      <c r="G38" s="7" t="s">
        <v>87</v>
      </c>
      <c r="H38" s="7"/>
      <c r="I38" s="7"/>
    </row>
    <row r="39" spans="1:9" x14ac:dyDescent="0.25">
      <c r="A39" s="5"/>
      <c r="B39" s="5"/>
      <c r="C39" s="9"/>
      <c r="D39" s="6"/>
      <c r="E39" s="7"/>
      <c r="F39" s="7"/>
      <c r="G39" s="7"/>
      <c r="H39" s="7"/>
      <c r="I39" s="7"/>
    </row>
    <row r="40" spans="1:9" x14ac:dyDescent="0.25">
      <c r="A40" s="5"/>
      <c r="B40" s="5"/>
      <c r="C40" s="9"/>
      <c r="D40" s="6"/>
      <c r="E40" s="152" t="s">
        <v>88</v>
      </c>
      <c r="F40" s="7"/>
      <c r="G40" s="7" t="s">
        <v>89</v>
      </c>
      <c r="H40" s="7"/>
      <c r="I40" s="7"/>
    </row>
    <row r="41" spans="1:9" x14ac:dyDescent="0.25">
      <c r="A41" s="5"/>
      <c r="B41" s="5"/>
      <c r="C41" s="9"/>
      <c r="D41" s="6"/>
      <c r="E41" s="7"/>
      <c r="F41" s="7"/>
      <c r="G41" s="7"/>
      <c r="H41" s="7"/>
      <c r="I41" s="7"/>
    </row>
    <row r="42" spans="1:9" x14ac:dyDescent="0.25">
      <c r="A42" s="5"/>
      <c r="B42" s="5"/>
      <c r="C42" s="9"/>
      <c r="D42" s="6"/>
      <c r="E42" s="8" t="s">
        <v>90</v>
      </c>
      <c r="F42" s="7"/>
      <c r="G42" s="7" t="s">
        <v>91</v>
      </c>
      <c r="H42" s="7"/>
      <c r="I42" s="7"/>
    </row>
    <row r="43" spans="1:9" x14ac:dyDescent="0.25">
      <c r="A43" s="5"/>
      <c r="B43" s="5"/>
      <c r="C43" s="9"/>
      <c r="D43" s="6"/>
      <c r="E43" s="7"/>
      <c r="F43" s="7"/>
      <c r="G43" s="7"/>
      <c r="H43" s="7"/>
      <c r="I43" s="7"/>
    </row>
    <row r="44" spans="1:9" x14ac:dyDescent="0.25">
      <c r="A44" s="5"/>
      <c r="B44" s="5"/>
      <c r="C44" s="9"/>
      <c r="D44" s="6"/>
      <c r="E44" s="153" t="s">
        <v>92</v>
      </c>
      <c r="F44" s="7"/>
      <c r="G44" s="7" t="s">
        <v>93</v>
      </c>
      <c r="H44" s="7"/>
      <c r="I44" s="7"/>
    </row>
    <row r="45" spans="1:9" x14ac:dyDescent="0.25">
      <c r="A45" s="5"/>
      <c r="B45" s="5"/>
      <c r="C45" s="9"/>
      <c r="D45" s="6"/>
      <c r="E45" s="7"/>
      <c r="F45" s="7"/>
      <c r="G45" s="7"/>
      <c r="H45" s="7"/>
      <c r="I45" s="7"/>
    </row>
    <row r="46" spans="1:9" x14ac:dyDescent="0.25">
      <c r="A46" s="5"/>
      <c r="B46" s="5" t="s">
        <v>94</v>
      </c>
      <c r="C46" s="9"/>
      <c r="D46" s="6"/>
      <c r="E46" s="7"/>
      <c r="F46" s="7"/>
      <c r="G46" s="7"/>
      <c r="H46" s="7"/>
      <c r="I46" s="7"/>
    </row>
    <row r="47" spans="1:9" x14ac:dyDescent="0.25">
      <c r="A47" s="5"/>
      <c r="B47" s="5"/>
      <c r="C47" s="9"/>
      <c r="D47" s="6"/>
      <c r="E47" s="154" t="s">
        <v>95</v>
      </c>
      <c r="F47" s="7"/>
      <c r="G47" s="7" t="s">
        <v>96</v>
      </c>
      <c r="H47" s="7"/>
      <c r="I47" s="7"/>
    </row>
    <row r="48" spans="1:9" x14ac:dyDescent="0.25">
      <c r="A48" s="5"/>
      <c r="B48" s="5"/>
      <c r="C48" s="9"/>
      <c r="D48" s="6"/>
      <c r="E48" s="7"/>
      <c r="F48" s="7"/>
      <c r="G48" s="7"/>
      <c r="H48" s="7"/>
      <c r="I48" s="7"/>
    </row>
    <row r="49" spans="1:9" x14ac:dyDescent="0.25">
      <c r="A49" s="5"/>
      <c r="B49" s="5"/>
      <c r="C49" s="9"/>
      <c r="D49" s="6"/>
      <c r="E49" s="155" t="s">
        <v>97</v>
      </c>
      <c r="F49" s="7"/>
      <c r="G49" s="7" t="s">
        <v>98</v>
      </c>
      <c r="H49" s="7"/>
      <c r="I49" s="7"/>
    </row>
    <row r="50" spans="1:9" x14ac:dyDescent="0.25">
      <c r="A50" s="5"/>
      <c r="B50" s="5"/>
      <c r="C50" s="9"/>
      <c r="D50" s="6"/>
      <c r="E50" s="7"/>
      <c r="F50" s="7"/>
      <c r="G50" s="7"/>
      <c r="H50" s="7"/>
      <c r="I50" s="7"/>
    </row>
    <row r="51" spans="1:9" x14ac:dyDescent="0.25">
      <c r="A51" s="5"/>
      <c r="B51" s="5"/>
      <c r="C51" s="9"/>
      <c r="D51" s="6"/>
      <c r="E51" s="156" t="s">
        <v>99</v>
      </c>
      <c r="F51" s="7"/>
      <c r="G51" s="7" t="s">
        <v>100</v>
      </c>
      <c r="H51" s="7"/>
      <c r="I51" s="7"/>
    </row>
    <row r="52" spans="1:9" x14ac:dyDescent="0.25">
      <c r="A52" s="5"/>
      <c r="B52" s="5"/>
      <c r="C52" s="9"/>
      <c r="D52" s="6"/>
      <c r="E52" s="7"/>
      <c r="F52" s="7"/>
      <c r="G52" s="7"/>
      <c r="H52" s="7"/>
      <c r="I52" s="7"/>
    </row>
    <row r="53" spans="1:9" x14ac:dyDescent="0.25">
      <c r="A53" s="5"/>
      <c r="B53" s="5"/>
      <c r="C53" s="9"/>
      <c r="D53" s="7"/>
      <c r="E53" s="7"/>
      <c r="F53" s="7"/>
      <c r="G53" s="7"/>
      <c r="H53" s="7"/>
      <c r="I53" s="7"/>
    </row>
    <row r="54" spans="1:9" x14ac:dyDescent="0.25">
      <c r="A54" s="139" t="s">
        <v>101</v>
      </c>
      <c r="B54" s="139"/>
      <c r="C54" s="140"/>
      <c r="D54" s="141"/>
      <c r="E54" s="139"/>
      <c r="F54" s="139"/>
      <c r="G54" s="139"/>
      <c r="H54" s="139"/>
      <c r="I54" s="139"/>
    </row>
    <row r="55" spans="1:9" x14ac:dyDescent="0.25">
      <c r="A55" s="5"/>
      <c r="B55" s="5"/>
      <c r="C55" s="9"/>
      <c r="D55" s="6"/>
      <c r="E55" s="7"/>
      <c r="F55" s="7"/>
      <c r="G55" s="7"/>
      <c r="H55" s="7"/>
      <c r="I55" s="7"/>
    </row>
    <row r="56" spans="1:9" x14ac:dyDescent="0.25">
      <c r="A56" s="5"/>
      <c r="B56" s="5"/>
      <c r="C56" s="9"/>
      <c r="D56" s="6"/>
      <c r="E56" s="7" t="s">
        <v>102</v>
      </c>
      <c r="F56" s="7"/>
      <c r="G56" s="7" t="s">
        <v>103</v>
      </c>
      <c r="H56" s="7"/>
      <c r="I56" s="7"/>
    </row>
    <row r="57" spans="1:9" x14ac:dyDescent="0.25">
      <c r="A57" s="5"/>
      <c r="B57" s="5"/>
      <c r="C57" s="9"/>
      <c r="D57" s="6"/>
      <c r="E57" s="7" t="s">
        <v>104</v>
      </c>
      <c r="F57" s="7"/>
      <c r="G57" s="7" t="s">
        <v>105</v>
      </c>
      <c r="H57" s="7"/>
      <c r="I57" s="7"/>
    </row>
    <row r="58" spans="1:9" x14ac:dyDescent="0.25">
      <c r="A58" s="5"/>
      <c r="B58" s="5"/>
      <c r="C58" s="9"/>
      <c r="D58" s="6"/>
      <c r="E58" s="7" t="s">
        <v>106</v>
      </c>
      <c r="F58" s="7"/>
      <c r="G58" s="7" t="s">
        <v>107</v>
      </c>
      <c r="H58" s="7"/>
      <c r="I58" s="7"/>
    </row>
    <row r="59" spans="1:9" x14ac:dyDescent="0.25">
      <c r="A59" s="5"/>
      <c r="B59" s="5"/>
      <c r="C59" s="9"/>
      <c r="D59" s="6"/>
      <c r="E59" s="7" t="s">
        <v>108</v>
      </c>
      <c r="F59" s="7"/>
      <c r="G59" s="7" t="s">
        <v>109</v>
      </c>
      <c r="H59" s="7"/>
      <c r="I59" s="7"/>
    </row>
    <row r="60" spans="1:9" x14ac:dyDescent="0.25">
      <c r="A60" s="5"/>
      <c r="B60" s="5"/>
      <c r="C60" s="9"/>
      <c r="D60" s="6"/>
      <c r="E60" s="7" t="s">
        <v>110</v>
      </c>
      <c r="F60" s="7"/>
      <c r="G60" s="7" t="s">
        <v>111</v>
      </c>
      <c r="H60" s="7"/>
      <c r="I60" s="7"/>
    </row>
    <row r="61" spans="1:9" x14ac:dyDescent="0.25">
      <c r="A61" s="5"/>
      <c r="B61" s="5"/>
      <c r="C61" s="9"/>
      <c r="D61" s="6"/>
      <c r="E61" s="7" t="s">
        <v>112</v>
      </c>
      <c r="F61" s="7"/>
      <c r="G61" s="7" t="s">
        <v>113</v>
      </c>
      <c r="H61" s="7"/>
      <c r="I61" s="7"/>
    </row>
    <row r="62" spans="1:9" x14ac:dyDescent="0.25">
      <c r="A62" s="5"/>
      <c r="B62" s="5"/>
      <c r="C62" s="9"/>
      <c r="D62" s="6"/>
      <c r="E62" s="7"/>
      <c r="F62" s="7"/>
      <c r="G62" s="7"/>
      <c r="H62" s="7"/>
      <c r="I62" s="7"/>
    </row>
    <row r="63" spans="1:9" x14ac:dyDescent="0.25">
      <c r="A63" s="5"/>
      <c r="B63" s="5"/>
      <c r="C63" s="9"/>
      <c r="D63" s="6"/>
      <c r="E63" s="7"/>
      <c r="F63" s="7"/>
      <c r="G63" s="7"/>
      <c r="H63" s="7"/>
      <c r="I63" s="7"/>
    </row>
    <row r="64" spans="1:9" s="1" customFormat="1" x14ac:dyDescent="0.25">
      <c r="A64" s="10" t="s">
        <v>114</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2.9" zeroHeight="1" x14ac:dyDescent="0.25"/>
  <cols>
    <col min="1" max="1" width="2.54296875" customWidth="1"/>
    <col min="2" max="2" width="36.54296875" bestFit="1" customWidth="1"/>
    <col min="3" max="3" width="3.453125" customWidth="1"/>
    <col min="4" max="4" width="54.81640625" customWidth="1"/>
    <col min="5" max="5" width="3.1796875" customWidth="1"/>
    <col min="6" max="6" width="40.54296875" customWidth="1"/>
    <col min="7" max="7" width="3.1796875" customWidth="1"/>
    <col min="8" max="8" width="40.54296875" customWidth="1"/>
    <col min="9" max="9" width="27.81640625" customWidth="1"/>
    <col min="10" max="10" width="63.1796875" hidden="1" customWidth="1"/>
    <col min="11" max="16384" width="9.1796875" hidden="1"/>
  </cols>
  <sheetData>
    <row r="1" spans="1:11" s="123" customFormat="1" ht="25.25" x14ac:dyDescent="0.45">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115</v>
      </c>
      <c r="D3" t="s">
        <v>116</v>
      </c>
      <c r="F3" t="s">
        <v>117</v>
      </c>
      <c r="H3" t="s">
        <v>118</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119</v>
      </c>
      <c r="D6" t="s">
        <v>120</v>
      </c>
      <c r="F6" t="s">
        <v>121</v>
      </c>
      <c r="H6" t="s">
        <v>103</v>
      </c>
    </row>
    <row r="7" spans="1:11" x14ac:dyDescent="0.25">
      <c r="D7" s="37"/>
    </row>
    <row r="8" spans="1:11" x14ac:dyDescent="0.25">
      <c r="B8" s="104" t="str">
        <f ca="1">'Style Guide'!$A$1</f>
        <v>Style Guide</v>
      </c>
      <c r="D8" s="104" t="str">
        <f ca="1">Index!$A$1</f>
        <v>Index</v>
      </c>
    </row>
    <row r="9" spans="1:11" x14ac:dyDescent="0.25">
      <c r="B9" t="s">
        <v>122</v>
      </c>
      <c r="D9" t="s">
        <v>123</v>
      </c>
    </row>
    <row r="10" spans="1:11" x14ac:dyDescent="0.25"/>
    <row r="11" spans="1:11" x14ac:dyDescent="0.25">
      <c r="B11" s="106" t="str">
        <f ca="1">$A$1</f>
        <v>ToC</v>
      </c>
      <c r="D11" s="104" t="str">
        <f ca="1">'Calcs-WR'!$A$1</f>
        <v>Calcs-WR</v>
      </c>
    </row>
    <row r="12" spans="1:11" x14ac:dyDescent="0.25">
      <c r="B12" t="s">
        <v>124</v>
      </c>
      <c r="D12" t="s">
        <v>125</v>
      </c>
    </row>
    <row r="13" spans="1:11" x14ac:dyDescent="0.25"/>
    <row r="14" spans="1:11" x14ac:dyDescent="0.25">
      <c r="B14" s="103" t="str">
        <f ca="1">InpR!$A$1</f>
        <v>InpR</v>
      </c>
      <c r="D14" s="104" t="str">
        <f ca="1">'Calcs-WN'!$A$1</f>
        <v>Calcs-WN</v>
      </c>
    </row>
    <row r="15" spans="1:11" x14ac:dyDescent="0.25">
      <c r="B15" t="s">
        <v>126</v>
      </c>
      <c r="D15" t="s">
        <v>127</v>
      </c>
    </row>
    <row r="16" spans="1:11" x14ac:dyDescent="0.25"/>
    <row r="17" spans="1:4" x14ac:dyDescent="0.25">
      <c r="D17" s="104" t="str">
        <f ca="1">'Calcs-WWN'!$A$1</f>
        <v>Calcs-WWN</v>
      </c>
    </row>
    <row r="18" spans="1:4" x14ac:dyDescent="0.25">
      <c r="D18" t="s">
        <v>128</v>
      </c>
    </row>
    <row r="19" spans="1:4" x14ac:dyDescent="0.25"/>
    <row r="20" spans="1:4" x14ac:dyDescent="0.25">
      <c r="D20" s="104" t="str">
        <f ca="1">'Calcs-BR'!$A$1</f>
        <v>Calcs-BR</v>
      </c>
    </row>
    <row r="21" spans="1:4" x14ac:dyDescent="0.25">
      <c r="D21" t="s">
        <v>129</v>
      </c>
    </row>
    <row r="22" spans="1:4" x14ac:dyDescent="0.25"/>
    <row r="23" spans="1:4" x14ac:dyDescent="0.25">
      <c r="D23" s="104" t="str">
        <f ca="1">'Calcs-DMMY'!$A$1</f>
        <v>Calcs-DMMY</v>
      </c>
    </row>
    <row r="24" spans="1:4" x14ac:dyDescent="0.25">
      <c r="D24" t="s">
        <v>130</v>
      </c>
    </row>
    <row r="25" spans="1:4" x14ac:dyDescent="0.25"/>
    <row r="26" spans="1:4" x14ac:dyDescent="0.25"/>
    <row r="27" spans="1:4" x14ac:dyDescent="0.25"/>
    <row r="28" spans="1:4" x14ac:dyDescent="0.25"/>
    <row r="29" spans="1:4" s="1" customFormat="1" x14ac:dyDescent="0.25">
      <c r="A29" s="10" t="s">
        <v>114</v>
      </c>
    </row>
    <row r="30" spans="1:4"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zoomScaleNormal="100" workbookViewId="0">
      <pane xSplit="9" ySplit="7" topLeftCell="J107" activePane="bottomRight" state="frozen"/>
      <selection pane="topRight"/>
      <selection pane="bottomLeft"/>
      <selection pane="bottomRight" activeCell="J70" sqref="J70:Q81"/>
    </sheetView>
  </sheetViews>
  <sheetFormatPr defaultColWidth="0" defaultRowHeight="13.45" zeroHeight="1" x14ac:dyDescent="0.25"/>
  <cols>
    <col min="1" max="1" width="1.453125" style="5" customWidth="1"/>
    <col min="2" max="2" width="1.453125" style="9" customWidth="1"/>
    <col min="3" max="3" width="1.453125" style="117" customWidth="1"/>
    <col min="4" max="4" width="1.453125" style="6" customWidth="1"/>
    <col min="5" max="5" width="54.54296875" style="7" bestFit="1" customWidth="1"/>
    <col min="6" max="6" width="11.453125" style="7" customWidth="1"/>
    <col min="7" max="7" width="9.54296875" style="7" bestFit="1" customWidth="1"/>
    <col min="8" max="8" width="5" style="7" bestFit="1" customWidth="1"/>
    <col min="9" max="9" width="66.7265625" style="7" bestFit="1" customWidth="1"/>
    <col min="10" max="17" width="9.81640625" style="7" bestFit="1" customWidth="1"/>
    <col min="18" max="18" width="10.453125" style="7" bestFit="1" customWidth="1"/>
    <col min="19" max="82" width="11.54296875" style="7" hidden="1" customWidth="1"/>
    <col min="83" max="109" width="0" style="7" hidden="1" customWidth="1"/>
    <col min="110" max="16384" width="9.1796875" style="7" hidden="1"/>
  </cols>
  <sheetData>
    <row r="1" spans="1:82" s="122" customFormat="1" ht="25.25" x14ac:dyDescent="0.5">
      <c r="A1" s="118" t="str">
        <f ca="1" xml:space="preserve"> RIGHT(CELL("filename", $A$1), LEN(CELL("filename", $A$1)) - SEARCH("]", CELL("filename", $A$1)))</f>
        <v>InpR</v>
      </c>
      <c r="C1" s="132"/>
    </row>
    <row r="2" spans="1:82" s="26" customFormat="1" x14ac:dyDescent="0.25">
      <c r="A2" s="62"/>
      <c r="B2" s="58"/>
      <c r="C2" s="113"/>
      <c r="D2" s="52"/>
      <c r="E2" s="26" t="str">
        <f>Time!E$22</f>
        <v>Model Period BEG</v>
      </c>
      <c r="F2" s="29">
        <f xml:space="preserve"> Checks!$F$9</f>
        <v>0</v>
      </c>
      <c r="G2" s="7" t="s">
        <v>131</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f>Time!J$86</f>
        <v>2018</v>
      </c>
      <c r="K5">
        <f>Time!K$86</f>
        <v>2019</v>
      </c>
      <c r="L5">
        <f>Time!L$86</f>
        <v>2020</v>
      </c>
      <c r="M5">
        <f>Time!M$86</f>
        <v>2021</v>
      </c>
      <c r="N5">
        <f>Time!N$86</f>
        <v>2022</v>
      </c>
      <c r="O5">
        <f>Time!O$86</f>
        <v>2023</v>
      </c>
      <c r="P5">
        <f>Time!P$86</f>
        <v>2024</v>
      </c>
      <c r="Q5">
        <f>Time!Q$86</f>
        <v>2025</v>
      </c>
      <c r="R5">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132</v>
      </c>
      <c r="G7" s="5" t="s">
        <v>133</v>
      </c>
      <c r="H7" s="5" t="s">
        <v>134</v>
      </c>
      <c r="I7" s="5" t="s">
        <v>135</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50"/>
      <c r="B8" s="61"/>
      <c r="C8" s="116"/>
      <c r="D8" s="55"/>
    </row>
    <row r="9" spans="1:82" ht="12.9" x14ac:dyDescent="0.25">
      <c r="A9" s="285" t="s">
        <v>136</v>
      </c>
      <c r="B9" s="286"/>
      <c r="C9" s="287"/>
      <c r="D9" s="287"/>
      <c r="E9" s="287"/>
      <c r="F9" s="287"/>
      <c r="G9" s="287"/>
      <c r="H9" s="287"/>
      <c r="I9" s="287"/>
      <c r="J9" s="287"/>
      <c r="K9" s="287"/>
      <c r="L9" s="287"/>
      <c r="M9" s="287"/>
      <c r="N9" s="287"/>
      <c r="O9" s="287"/>
      <c r="P9" s="287"/>
      <c r="Q9" s="287"/>
      <c r="R9" s="287"/>
    </row>
    <row r="10" spans="1:82" ht="12.9" x14ac:dyDescent="0.25">
      <c r="C10" s="9"/>
      <c r="E10" s="91"/>
    </row>
    <row r="11" spans="1:82" ht="12.9" x14ac:dyDescent="0.25">
      <c r="C11" s="9"/>
      <c r="E11" s="91" t="s">
        <v>137</v>
      </c>
      <c r="F11" s="16">
        <v>42826</v>
      </c>
      <c r="G11" s="25" t="s">
        <v>138</v>
      </c>
    </row>
    <row r="12" spans="1:82" ht="12.9" x14ac:dyDescent="0.25">
      <c r="C12" s="9"/>
      <c r="E12" s="91"/>
      <c r="F12" s="17"/>
    </row>
    <row r="13" spans="1:82" ht="12.9" x14ac:dyDescent="0.25">
      <c r="C13" s="9"/>
      <c r="E13" s="91" t="s">
        <v>139</v>
      </c>
      <c r="F13" s="16">
        <v>43921</v>
      </c>
      <c r="G13" s="25" t="s">
        <v>138</v>
      </c>
    </row>
    <row r="14" spans="1:82" ht="12.9" x14ac:dyDescent="0.25">
      <c r="C14" s="9"/>
      <c r="E14" s="92"/>
      <c r="F14" s="17"/>
      <c r="G14" s="18"/>
    </row>
    <row r="15" spans="1:82" ht="12.9" x14ac:dyDescent="0.25">
      <c r="C15" s="9"/>
      <c r="E15" s="91" t="s">
        <v>140</v>
      </c>
      <c r="F15" s="16">
        <v>43921</v>
      </c>
      <c r="G15" s="25" t="s">
        <v>138</v>
      </c>
    </row>
    <row r="16" spans="1:82" ht="12.9" x14ac:dyDescent="0.25">
      <c r="A16" s="24"/>
      <c r="B16" s="23"/>
      <c r="C16" s="23"/>
      <c r="D16" s="22"/>
      <c r="E16" s="92" t="s">
        <v>141</v>
      </c>
      <c r="F16" s="19">
        <v>5</v>
      </c>
      <c r="G16" s="20" t="s">
        <v>142</v>
      </c>
    </row>
    <row r="17" spans="1:19" ht="12.9" x14ac:dyDescent="0.25">
      <c r="C17" s="9"/>
      <c r="E17" s="92" t="s">
        <v>143</v>
      </c>
      <c r="F17" s="17">
        <f>DATE(YEAR(F15)+F16,MONTH(F15),DAY(F15))</f>
        <v>45747</v>
      </c>
      <c r="G17" s="18" t="s">
        <v>138</v>
      </c>
    </row>
    <row r="18" spans="1:19" ht="12.9" x14ac:dyDescent="0.25">
      <c r="C18" s="9"/>
      <c r="E18" s="91"/>
      <c r="F18" s="17"/>
    </row>
    <row r="19" spans="1:19" ht="12.9" x14ac:dyDescent="0.25">
      <c r="C19" s="9"/>
      <c r="E19" s="91"/>
      <c r="F19" s="17"/>
    </row>
    <row r="20" spans="1:19" ht="12.9" x14ac:dyDescent="0.25">
      <c r="C20" s="9"/>
      <c r="E20" s="91" t="s">
        <v>144</v>
      </c>
      <c r="F20" s="16">
        <v>44286</v>
      </c>
      <c r="G20" s="7" t="s">
        <v>138</v>
      </c>
    </row>
    <row r="21" spans="1:19" ht="12.9" x14ac:dyDescent="0.25">
      <c r="C21" s="9"/>
      <c r="E21" s="91" t="s">
        <v>145</v>
      </c>
      <c r="F21" s="16">
        <v>45747</v>
      </c>
      <c r="G21" s="7" t="s">
        <v>138</v>
      </c>
    </row>
    <row r="22" spans="1:19" ht="12.9" x14ac:dyDescent="0.25">
      <c r="C22" s="9"/>
      <c r="E22" s="91" t="s">
        <v>146</v>
      </c>
      <c r="F22" s="44">
        <v>2018</v>
      </c>
      <c r="G22" s="7" t="s">
        <v>147</v>
      </c>
    </row>
    <row r="23" spans="1:19" ht="12.9" x14ac:dyDescent="0.25">
      <c r="C23" s="9"/>
      <c r="E23" s="91" t="s">
        <v>148</v>
      </c>
      <c r="F23" s="19">
        <v>3</v>
      </c>
      <c r="G23" s="7" t="s">
        <v>149</v>
      </c>
    </row>
    <row r="24" spans="1:19" x14ac:dyDescent="0.25">
      <c r="A24" s="50"/>
      <c r="B24" s="61"/>
      <c r="C24" s="116"/>
      <c r="D24" s="55"/>
    </row>
    <row r="25" spans="1:19" ht="12.9" x14ac:dyDescent="0.25">
      <c r="A25" s="285" t="s">
        <v>150</v>
      </c>
      <c r="B25" s="286"/>
      <c r="C25" s="287"/>
      <c r="D25" s="287"/>
      <c r="E25" s="287"/>
      <c r="F25" s="287"/>
      <c r="G25" s="287"/>
      <c r="H25" s="287"/>
      <c r="I25" s="287"/>
      <c r="J25" s="287"/>
      <c r="K25" s="287"/>
      <c r="L25" s="287"/>
      <c r="M25" s="287"/>
      <c r="N25" s="287"/>
      <c r="O25" s="287"/>
      <c r="P25" s="287"/>
      <c r="Q25" s="287"/>
      <c r="R25" s="287"/>
    </row>
    <row r="26" spans="1:19" x14ac:dyDescent="0.25">
      <c r="A26" s="50"/>
      <c r="B26" s="61" t="s">
        <v>151</v>
      </c>
      <c r="C26" s="116"/>
      <c r="D26" s="55"/>
    </row>
    <row r="27" spans="1:19" x14ac:dyDescent="0.25">
      <c r="A27" s="50"/>
      <c r="B27" s="61"/>
      <c r="C27" s="116"/>
      <c r="D27" s="55"/>
      <c r="E27" s="91" t="s">
        <v>152</v>
      </c>
      <c r="G27" s="91" t="s">
        <v>153</v>
      </c>
      <c r="I27" s="6" t="s">
        <v>154</v>
      </c>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x14ac:dyDescent="0.25">
      <c r="A28" s="50"/>
      <c r="B28" s="61"/>
      <c r="C28" s="116"/>
      <c r="D28" s="55"/>
      <c r="E28" s="91" t="s">
        <v>155</v>
      </c>
      <c r="G28" s="91" t="s">
        <v>153</v>
      </c>
      <c r="I28" s="6" t="s">
        <v>156</v>
      </c>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x14ac:dyDescent="0.25">
      <c r="A29" s="50"/>
      <c r="B29" s="61"/>
      <c r="C29" s="116"/>
      <c r="D29" s="55"/>
      <c r="E29" s="91" t="s">
        <v>157</v>
      </c>
      <c r="G29" s="91" t="s">
        <v>153</v>
      </c>
      <c r="I29" s="6" t="s">
        <v>158</v>
      </c>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x14ac:dyDescent="0.25">
      <c r="A30" s="50"/>
      <c r="B30" s="61"/>
      <c r="C30" s="116"/>
      <c r="D30" s="55"/>
      <c r="E30" s="91" t="s">
        <v>159</v>
      </c>
      <c r="G30" s="91" t="s">
        <v>153</v>
      </c>
      <c r="I30" s="6" t="s">
        <v>160</v>
      </c>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x14ac:dyDescent="0.25">
      <c r="A31" s="50"/>
      <c r="B31" s="61"/>
      <c r="C31" s="116"/>
      <c r="D31" s="55"/>
      <c r="E31" s="91" t="s">
        <v>161</v>
      </c>
      <c r="G31" s="91" t="s">
        <v>153</v>
      </c>
      <c r="I31" s="6" t="s">
        <v>162</v>
      </c>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x14ac:dyDescent="0.25">
      <c r="A32" s="50"/>
      <c r="B32" s="61"/>
      <c r="C32" s="116"/>
      <c r="D32" s="55"/>
      <c r="E32" s="91" t="s">
        <v>163</v>
      </c>
      <c r="G32" s="91" t="s">
        <v>153</v>
      </c>
      <c r="I32" s="6" t="s">
        <v>164</v>
      </c>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x14ac:dyDescent="0.25">
      <c r="A33" s="50"/>
      <c r="B33" s="61"/>
      <c r="C33" s="116"/>
      <c r="D33" s="55"/>
      <c r="E33" s="91" t="s">
        <v>165</v>
      </c>
      <c r="G33" s="91" t="s">
        <v>153</v>
      </c>
      <c r="I33" s="6" t="s">
        <v>166</v>
      </c>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x14ac:dyDescent="0.25">
      <c r="A34" s="50"/>
      <c r="B34" s="61"/>
      <c r="C34" s="116"/>
      <c r="D34" s="55"/>
      <c r="E34" s="91" t="s">
        <v>167</v>
      </c>
      <c r="G34" s="91" t="s">
        <v>153</v>
      </c>
      <c r="I34" s="6" t="s">
        <v>168</v>
      </c>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x14ac:dyDescent="0.25">
      <c r="A35" s="50"/>
      <c r="B35" s="61"/>
      <c r="C35" s="116"/>
      <c r="D35" s="55"/>
      <c r="E35" s="91" t="s">
        <v>169</v>
      </c>
      <c r="G35" s="91" t="s">
        <v>153</v>
      </c>
      <c r="I35" s="6" t="s">
        <v>170</v>
      </c>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x14ac:dyDescent="0.25">
      <c r="A36" s="50"/>
      <c r="B36" s="61"/>
      <c r="C36" s="116"/>
      <c r="D36" s="55"/>
      <c r="E36" s="91" t="s">
        <v>171</v>
      </c>
      <c r="G36" s="91" t="s">
        <v>153</v>
      </c>
      <c r="I36" s="6" t="s">
        <v>172</v>
      </c>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x14ac:dyDescent="0.25">
      <c r="A37" s="50"/>
      <c r="B37" s="61"/>
      <c r="C37" s="116"/>
      <c r="D37" s="55"/>
      <c r="E37" s="91" t="s">
        <v>173</v>
      </c>
      <c r="G37" s="91" t="s">
        <v>153</v>
      </c>
      <c r="I37" s="6" t="s">
        <v>174</v>
      </c>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x14ac:dyDescent="0.25">
      <c r="A38" s="50"/>
      <c r="B38" s="61"/>
      <c r="C38" s="116"/>
      <c r="D38" s="55"/>
      <c r="E38" s="91" t="s">
        <v>175</v>
      </c>
      <c r="G38" s="91" t="s">
        <v>153</v>
      </c>
      <c r="I38" s="6" t="s">
        <v>176</v>
      </c>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x14ac:dyDescent="0.25">
      <c r="A39" s="49"/>
      <c r="B39" s="61"/>
      <c r="C39" s="116"/>
      <c r="D39" s="57"/>
      <c r="E39" s="92"/>
      <c r="F39" s="92"/>
      <c r="G39" s="92"/>
      <c r="I39" s="167"/>
      <c r="K39" s="230"/>
      <c r="L39" s="230"/>
      <c r="M39" s="230"/>
      <c r="N39" s="230"/>
      <c r="O39" s="230"/>
      <c r="P39" s="230"/>
      <c r="Q39" s="230"/>
      <c r="R39" s="230"/>
    </row>
    <row r="40" spans="1:19" x14ac:dyDescent="0.25">
      <c r="A40" s="50"/>
      <c r="B40" s="61" t="s">
        <v>177</v>
      </c>
      <c r="C40" s="116"/>
      <c r="D40" s="55"/>
      <c r="I40" s="6"/>
    </row>
    <row r="41" spans="1:19" x14ac:dyDescent="0.25">
      <c r="A41" s="50"/>
      <c r="B41" s="61"/>
      <c r="C41" s="116"/>
      <c r="D41" s="55"/>
      <c r="E41" s="91" t="s">
        <v>178</v>
      </c>
      <c r="G41" s="91" t="s">
        <v>153</v>
      </c>
      <c r="I41" s="6" t="s">
        <v>179</v>
      </c>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x14ac:dyDescent="0.25">
      <c r="A42" s="50"/>
      <c r="B42" s="61"/>
      <c r="C42" s="116"/>
      <c r="D42" s="55"/>
      <c r="E42" s="91" t="s">
        <v>180</v>
      </c>
      <c r="G42" s="91" t="s">
        <v>153</v>
      </c>
      <c r="I42" s="6" t="s">
        <v>181</v>
      </c>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x14ac:dyDescent="0.25">
      <c r="A43" s="50"/>
      <c r="B43" s="61"/>
      <c r="C43" s="116"/>
      <c r="D43" s="55"/>
      <c r="E43" s="91" t="s">
        <v>182</v>
      </c>
      <c r="G43" s="91" t="s">
        <v>153</v>
      </c>
      <c r="I43" s="6" t="s">
        <v>183</v>
      </c>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x14ac:dyDescent="0.25">
      <c r="A44" s="50"/>
      <c r="B44" s="61"/>
      <c r="C44" s="116"/>
      <c r="D44" s="55"/>
      <c r="E44" s="91" t="s">
        <v>184</v>
      </c>
      <c r="G44" s="91" t="s">
        <v>153</v>
      </c>
      <c r="I44" s="6" t="s">
        <v>185</v>
      </c>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x14ac:dyDescent="0.25">
      <c r="A45" s="50"/>
      <c r="B45" s="61"/>
      <c r="C45" s="116"/>
      <c r="D45" s="55"/>
      <c r="E45" s="91" t="s">
        <v>186</v>
      </c>
      <c r="G45" s="91" t="s">
        <v>153</v>
      </c>
      <c r="I45" s="6" t="s">
        <v>187</v>
      </c>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x14ac:dyDescent="0.25">
      <c r="A46" s="50"/>
      <c r="B46" s="61"/>
      <c r="C46" s="116"/>
      <c r="D46" s="55"/>
      <c r="E46" s="91" t="s">
        <v>188</v>
      </c>
      <c r="G46" s="91" t="s">
        <v>153</v>
      </c>
      <c r="I46" s="6" t="s">
        <v>189</v>
      </c>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x14ac:dyDescent="0.25">
      <c r="A47" s="50"/>
      <c r="B47" s="61"/>
      <c r="C47" s="116"/>
      <c r="D47" s="55"/>
      <c r="E47" s="91" t="s">
        <v>190</v>
      </c>
      <c r="G47" s="91" t="s">
        <v>153</v>
      </c>
      <c r="I47" s="6" t="s">
        <v>191</v>
      </c>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x14ac:dyDescent="0.25">
      <c r="A48" s="50"/>
      <c r="B48" s="61"/>
      <c r="C48" s="116"/>
      <c r="D48" s="55"/>
      <c r="E48" s="91" t="s">
        <v>192</v>
      </c>
      <c r="G48" s="91" t="s">
        <v>153</v>
      </c>
      <c r="I48" s="6" t="s">
        <v>193</v>
      </c>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x14ac:dyDescent="0.25">
      <c r="A49" s="50"/>
      <c r="B49" s="61"/>
      <c r="C49" s="116"/>
      <c r="D49" s="55"/>
      <c r="E49" s="91" t="s">
        <v>194</v>
      </c>
      <c r="G49" s="91" t="s">
        <v>153</v>
      </c>
      <c r="I49" s="6" t="s">
        <v>195</v>
      </c>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x14ac:dyDescent="0.25">
      <c r="A50" s="50"/>
      <c r="B50" s="61"/>
      <c r="C50" s="116"/>
      <c r="D50" s="55"/>
      <c r="E50" s="91" t="s">
        <v>196</v>
      </c>
      <c r="G50" s="91" t="s">
        <v>153</v>
      </c>
      <c r="I50" s="6" t="s">
        <v>197</v>
      </c>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x14ac:dyDescent="0.25">
      <c r="A51" s="50"/>
      <c r="B51" s="61"/>
      <c r="C51" s="116"/>
      <c r="D51" s="55"/>
      <c r="E51" s="91" t="s">
        <v>198</v>
      </c>
      <c r="G51" s="91" t="s">
        <v>153</v>
      </c>
      <c r="I51" s="6" t="s">
        <v>199</v>
      </c>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x14ac:dyDescent="0.25">
      <c r="A52" s="50"/>
      <c r="B52" s="61"/>
      <c r="C52" s="116"/>
      <c r="D52" s="55"/>
      <c r="E52" s="91" t="s">
        <v>200</v>
      </c>
      <c r="F52" s="91"/>
      <c r="G52" s="91" t="s">
        <v>153</v>
      </c>
      <c r="I52" s="6" t="s">
        <v>201</v>
      </c>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5">
      <c r="A53" s="50"/>
      <c r="B53" s="61"/>
      <c r="C53" s="116"/>
      <c r="D53" s="55"/>
      <c r="I53" s="6"/>
    </row>
    <row r="54" spans="1:19" ht="12.9" x14ac:dyDescent="0.25">
      <c r="A54" s="285" t="s">
        <v>202</v>
      </c>
      <c r="B54" s="286"/>
      <c r="C54" s="287"/>
      <c r="D54" s="287"/>
      <c r="E54" s="287"/>
      <c r="F54" s="287"/>
      <c r="G54" s="287"/>
      <c r="H54" s="287"/>
      <c r="I54" s="287"/>
      <c r="J54" s="287"/>
      <c r="K54" s="287"/>
      <c r="L54" s="287"/>
      <c r="M54" s="287"/>
      <c r="N54" s="287"/>
      <c r="O54" s="287"/>
      <c r="P54" s="287"/>
      <c r="Q54" s="287"/>
      <c r="R54" s="287"/>
    </row>
    <row r="55" spans="1:19" x14ac:dyDescent="0.25">
      <c r="A55" s="50"/>
      <c r="B55" s="61" t="s">
        <v>203</v>
      </c>
      <c r="C55" s="116"/>
      <c r="D55" s="55"/>
      <c r="I55" s="6"/>
    </row>
    <row r="56" spans="1:19" x14ac:dyDescent="0.25">
      <c r="A56" s="50"/>
      <c r="B56" s="61"/>
      <c r="C56" s="116"/>
      <c r="D56" s="55"/>
      <c r="E56" s="91" t="s">
        <v>204</v>
      </c>
      <c r="G56" s="91" t="s">
        <v>153</v>
      </c>
      <c r="I56" s="6" t="s">
        <v>205</v>
      </c>
      <c r="J56" s="30"/>
      <c r="K56" s="228">
        <v>279.7</v>
      </c>
      <c r="L56" s="228">
        <v>288.2</v>
      </c>
      <c r="M56" s="228">
        <v>292.60000000000002</v>
      </c>
      <c r="N56" s="228">
        <v>301.10000000000002</v>
      </c>
      <c r="O56" s="228">
        <v>334.6</v>
      </c>
      <c r="P56" s="228">
        <v>371.2</v>
      </c>
      <c r="Q56" s="228">
        <v>386.1</v>
      </c>
      <c r="R56" s="228"/>
    </row>
    <row r="57" spans="1:19" x14ac:dyDescent="0.25">
      <c r="A57" s="50"/>
      <c r="B57" s="61"/>
      <c r="C57" s="116"/>
      <c r="D57" s="55"/>
      <c r="E57" s="91" t="s">
        <v>206</v>
      </c>
      <c r="G57" s="91" t="s">
        <v>153</v>
      </c>
      <c r="I57" s="6" t="s">
        <v>205</v>
      </c>
      <c r="J57" s="30"/>
      <c r="K57" s="228">
        <v>280.7</v>
      </c>
      <c r="L57" s="228">
        <v>289.2</v>
      </c>
      <c r="M57" s="228">
        <v>292.2</v>
      </c>
      <c r="N57" s="228">
        <v>301.89999999999998</v>
      </c>
      <c r="O57" s="228">
        <v>337.1</v>
      </c>
      <c r="P57" s="228">
        <v>372.2</v>
      </c>
      <c r="Q57" s="228">
        <v>386.7</v>
      </c>
      <c r="R57" s="228"/>
    </row>
    <row r="58" spans="1:19" x14ac:dyDescent="0.25">
      <c r="A58" s="50"/>
      <c r="B58" s="61"/>
      <c r="C58" s="116"/>
      <c r="D58" s="55"/>
      <c r="E58" s="91" t="s">
        <v>207</v>
      </c>
      <c r="G58" s="91" t="s">
        <v>153</v>
      </c>
      <c r="I58" s="6" t="s">
        <v>205</v>
      </c>
      <c r="J58" s="30"/>
      <c r="K58" s="228">
        <v>281.5</v>
      </c>
      <c r="L58" s="228">
        <v>289.60000000000002</v>
      </c>
      <c r="M58" s="228">
        <v>292.7</v>
      </c>
      <c r="N58" s="228">
        <v>304</v>
      </c>
      <c r="O58" s="228">
        <v>340</v>
      </c>
      <c r="P58" s="228">
        <v>372.6</v>
      </c>
      <c r="Q58" s="228">
        <v>386.8</v>
      </c>
      <c r="R58" s="228"/>
    </row>
    <row r="59" spans="1:19" x14ac:dyDescent="0.25">
      <c r="A59" s="50"/>
      <c r="B59" s="61"/>
      <c r="C59" s="116"/>
      <c r="D59" s="55"/>
      <c r="E59" s="91" t="s">
        <v>208</v>
      </c>
      <c r="G59" s="91" t="s">
        <v>153</v>
      </c>
      <c r="I59" s="6" t="s">
        <v>205</v>
      </c>
      <c r="J59" s="30"/>
      <c r="K59" s="228">
        <v>281.7</v>
      </c>
      <c r="L59" s="228">
        <v>289.5</v>
      </c>
      <c r="M59" s="228">
        <v>294.2</v>
      </c>
      <c r="N59" s="228">
        <v>305.5</v>
      </c>
      <c r="O59" s="228">
        <v>343.2</v>
      </c>
      <c r="P59" s="228">
        <v>373.6</v>
      </c>
      <c r="Q59" s="228">
        <v>387.2</v>
      </c>
      <c r="R59" s="228"/>
    </row>
    <row r="60" spans="1:19" x14ac:dyDescent="0.25">
      <c r="A60" s="50"/>
      <c r="B60" s="61"/>
      <c r="C60" s="116"/>
      <c r="D60" s="55"/>
      <c r="E60" s="91" t="s">
        <v>209</v>
      </c>
      <c r="G60" s="91" t="s">
        <v>153</v>
      </c>
      <c r="I60" s="6" t="s">
        <v>205</v>
      </c>
      <c r="J60" s="30"/>
      <c r="K60" s="228">
        <v>284.2</v>
      </c>
      <c r="L60" s="228">
        <v>291.7</v>
      </c>
      <c r="M60" s="228">
        <v>293.3</v>
      </c>
      <c r="N60" s="228">
        <v>307.39999999999998</v>
      </c>
      <c r="O60" s="228">
        <v>345.2</v>
      </c>
      <c r="P60" s="228">
        <v>374.5</v>
      </c>
      <c r="Q60" s="228">
        <v>388.4</v>
      </c>
      <c r="R60" s="228"/>
    </row>
    <row r="61" spans="1:19" x14ac:dyDescent="0.25">
      <c r="A61" s="50"/>
      <c r="B61" s="61"/>
      <c r="C61" s="116"/>
      <c r="D61" s="55"/>
      <c r="E61" s="91" t="s">
        <v>210</v>
      </c>
      <c r="G61" s="91" t="s">
        <v>153</v>
      </c>
      <c r="I61" s="6" t="s">
        <v>205</v>
      </c>
      <c r="J61" s="30"/>
      <c r="K61" s="228">
        <v>284.10000000000002</v>
      </c>
      <c r="L61" s="228">
        <v>291</v>
      </c>
      <c r="M61" s="228">
        <v>294.3</v>
      </c>
      <c r="N61" s="228">
        <v>308.60000000000002</v>
      </c>
      <c r="O61" s="228">
        <v>347.6</v>
      </c>
      <c r="P61" s="228">
        <v>376.1</v>
      </c>
      <c r="Q61" s="228">
        <v>389.8</v>
      </c>
      <c r="R61" s="228"/>
    </row>
    <row r="62" spans="1:19" x14ac:dyDescent="0.25">
      <c r="A62" s="50"/>
      <c r="B62" s="61"/>
      <c r="C62" s="116"/>
      <c r="D62" s="55"/>
      <c r="E62" s="91" t="s">
        <v>211</v>
      </c>
      <c r="G62" s="91" t="s">
        <v>153</v>
      </c>
      <c r="I62" s="6" t="s">
        <v>205</v>
      </c>
      <c r="J62" s="30"/>
      <c r="K62" s="228">
        <v>284.5</v>
      </c>
      <c r="L62" s="228">
        <v>290.39999999999998</v>
      </c>
      <c r="M62" s="228">
        <v>294.3</v>
      </c>
      <c r="N62" s="228">
        <v>312</v>
      </c>
      <c r="O62" s="228">
        <v>356.2</v>
      </c>
      <c r="P62" s="228">
        <v>378.8</v>
      </c>
      <c r="Q62" s="228">
        <v>392.3</v>
      </c>
      <c r="R62" s="228"/>
    </row>
    <row r="63" spans="1:19" x14ac:dyDescent="0.25">
      <c r="A63" s="50"/>
      <c r="B63" s="61"/>
      <c r="C63" s="116"/>
      <c r="D63" s="55"/>
      <c r="E63" s="91" t="s">
        <v>212</v>
      </c>
      <c r="G63" s="91" t="s">
        <v>153</v>
      </c>
      <c r="I63" s="6" t="s">
        <v>205</v>
      </c>
      <c r="J63" s="30"/>
      <c r="K63" s="228">
        <v>284.60000000000002</v>
      </c>
      <c r="L63" s="228">
        <v>291</v>
      </c>
      <c r="M63" s="228">
        <v>293.5</v>
      </c>
      <c r="N63" s="228">
        <v>314.3</v>
      </c>
      <c r="O63" s="228">
        <v>358.3</v>
      </c>
      <c r="P63" s="228">
        <v>380.2</v>
      </c>
      <c r="Q63" s="228">
        <v>393.7</v>
      </c>
      <c r="R63" s="228"/>
    </row>
    <row r="64" spans="1:19" x14ac:dyDescent="0.25">
      <c r="A64" s="50"/>
      <c r="B64" s="61"/>
      <c r="C64" s="116"/>
      <c r="D64" s="55"/>
      <c r="E64" s="91" t="s">
        <v>213</v>
      </c>
      <c r="G64" s="91" t="s">
        <v>153</v>
      </c>
      <c r="I64" s="6" t="s">
        <v>205</v>
      </c>
      <c r="J64" s="30"/>
      <c r="K64" s="228">
        <v>285.60000000000002</v>
      </c>
      <c r="L64" s="228">
        <v>291.89999999999998</v>
      </c>
      <c r="M64" s="228">
        <v>295.39999999999998</v>
      </c>
      <c r="N64" s="228">
        <v>317.7</v>
      </c>
      <c r="O64" s="228">
        <v>360.4</v>
      </c>
      <c r="P64" s="228">
        <v>381.5</v>
      </c>
      <c r="Q64" s="228">
        <v>395</v>
      </c>
      <c r="R64" s="228"/>
    </row>
    <row r="65" spans="1:18" x14ac:dyDescent="0.25">
      <c r="A65" s="50"/>
      <c r="B65" s="61"/>
      <c r="C65" s="116"/>
      <c r="D65" s="55"/>
      <c r="E65" s="91" t="s">
        <v>214</v>
      </c>
      <c r="G65" s="91" t="s">
        <v>153</v>
      </c>
      <c r="I65" s="6" t="s">
        <v>205</v>
      </c>
      <c r="J65" s="30"/>
      <c r="K65" s="228">
        <v>283</v>
      </c>
      <c r="L65" s="228">
        <v>290.60000000000002</v>
      </c>
      <c r="M65" s="228">
        <v>294.60000000000002</v>
      </c>
      <c r="N65" s="228">
        <v>317.7</v>
      </c>
      <c r="O65" s="228">
        <v>360.3</v>
      </c>
      <c r="P65" s="228">
        <v>379.6</v>
      </c>
      <c r="Q65" s="228">
        <v>392.9</v>
      </c>
      <c r="R65" s="228"/>
    </row>
    <row r="66" spans="1:18" x14ac:dyDescent="0.25">
      <c r="A66" s="50"/>
      <c r="B66" s="61"/>
      <c r="C66" s="116"/>
      <c r="D66" s="55"/>
      <c r="E66" s="91" t="s">
        <v>215</v>
      </c>
      <c r="G66" s="91" t="s">
        <v>153</v>
      </c>
      <c r="I66" s="6" t="s">
        <v>205</v>
      </c>
      <c r="J66" s="30"/>
      <c r="K66" s="228">
        <v>285</v>
      </c>
      <c r="L66" s="228">
        <v>292</v>
      </c>
      <c r="M66" s="228">
        <v>296</v>
      </c>
      <c r="N66" s="228">
        <v>320.2</v>
      </c>
      <c r="O66" s="228">
        <v>364.5</v>
      </c>
      <c r="P66" s="228">
        <v>383.3</v>
      </c>
      <c r="Q66" s="228">
        <v>396.3</v>
      </c>
      <c r="R66" s="228"/>
    </row>
    <row r="67" spans="1:18" x14ac:dyDescent="0.25">
      <c r="A67" s="50"/>
      <c r="B67" s="61"/>
      <c r="C67" s="116"/>
      <c r="D67" s="55"/>
      <c r="E67" s="91" t="s">
        <v>216</v>
      </c>
      <c r="G67" s="91" t="s">
        <v>153</v>
      </c>
      <c r="I67" s="6" t="s">
        <v>205</v>
      </c>
      <c r="J67" s="30"/>
      <c r="K67" s="228">
        <v>285.10000000000002</v>
      </c>
      <c r="L67" s="228">
        <v>292.60000000000002</v>
      </c>
      <c r="M67" s="228">
        <v>296.89999999999998</v>
      </c>
      <c r="N67" s="228">
        <v>323.5</v>
      </c>
      <c r="O67" s="228">
        <v>367.2</v>
      </c>
      <c r="P67" s="228">
        <v>385.6</v>
      </c>
      <c r="Q67" s="228">
        <v>398.3</v>
      </c>
      <c r="R67" s="228"/>
    </row>
    <row r="68" spans="1:18" x14ac:dyDescent="0.25">
      <c r="A68" s="50"/>
      <c r="B68" s="61"/>
      <c r="C68" s="116"/>
      <c r="D68" s="55"/>
      <c r="E68" s="91"/>
      <c r="F68" s="91"/>
      <c r="G68" s="91"/>
      <c r="I68" s="171"/>
    </row>
    <row r="69" spans="1:18" x14ac:dyDescent="0.25">
      <c r="A69" s="50"/>
      <c r="B69" s="61" t="s">
        <v>217</v>
      </c>
      <c r="C69" s="116"/>
      <c r="D69" s="55"/>
      <c r="I69" s="6"/>
    </row>
    <row r="70" spans="1:18" x14ac:dyDescent="0.25">
      <c r="A70" s="50"/>
      <c r="B70" s="61"/>
      <c r="C70" s="116"/>
      <c r="D70" s="55"/>
      <c r="E70" s="91" t="s">
        <v>218</v>
      </c>
      <c r="G70" s="91" t="s">
        <v>153</v>
      </c>
      <c r="I70" s="6" t="s">
        <v>219</v>
      </c>
      <c r="J70" s="228">
        <v>103.2</v>
      </c>
      <c r="K70" s="228">
        <v>105.5</v>
      </c>
      <c r="L70" s="228">
        <v>107.6</v>
      </c>
      <c r="M70" s="228">
        <v>108.6</v>
      </c>
      <c r="N70" s="228">
        <v>110.4</v>
      </c>
      <c r="O70" s="228">
        <v>119</v>
      </c>
      <c r="P70" s="228">
        <v>127.9</v>
      </c>
      <c r="Q70" s="228">
        <v>131.30000000000001</v>
      </c>
      <c r="R70" s="228"/>
    </row>
    <row r="71" spans="1:18" x14ac:dyDescent="0.25">
      <c r="A71" s="50"/>
      <c r="B71" s="61"/>
      <c r="C71" s="116"/>
      <c r="D71" s="55"/>
      <c r="E71" s="91" t="s">
        <v>220</v>
      </c>
      <c r="G71" s="91" t="s">
        <v>153</v>
      </c>
      <c r="I71" s="6" t="s">
        <v>219</v>
      </c>
      <c r="J71" s="228">
        <v>103.5</v>
      </c>
      <c r="K71" s="228">
        <v>105.9</v>
      </c>
      <c r="L71" s="228">
        <v>107.9</v>
      </c>
      <c r="M71" s="228">
        <v>108.6</v>
      </c>
      <c r="N71" s="228">
        <v>111</v>
      </c>
      <c r="O71" s="228">
        <v>119.7</v>
      </c>
      <c r="P71" s="228">
        <v>128.6</v>
      </c>
      <c r="Q71" s="228">
        <v>131.6</v>
      </c>
      <c r="R71" s="228"/>
    </row>
    <row r="72" spans="1:18" x14ac:dyDescent="0.25">
      <c r="A72" s="50"/>
      <c r="B72" s="61"/>
      <c r="C72" s="116"/>
      <c r="D72" s="55"/>
      <c r="E72" s="91" t="s">
        <v>221</v>
      </c>
      <c r="G72" s="91" t="s">
        <v>153</v>
      </c>
      <c r="I72" s="6" t="s">
        <v>219</v>
      </c>
      <c r="J72" s="228">
        <v>103.5</v>
      </c>
      <c r="K72" s="228">
        <v>105.9</v>
      </c>
      <c r="L72" s="228">
        <v>107.9</v>
      </c>
      <c r="M72" s="228">
        <v>108.8</v>
      </c>
      <c r="N72" s="228">
        <v>111.4</v>
      </c>
      <c r="O72" s="228">
        <v>120.5</v>
      </c>
      <c r="P72" s="228">
        <v>128.9</v>
      </c>
      <c r="Q72" s="228">
        <v>131.9</v>
      </c>
      <c r="R72" s="228"/>
    </row>
    <row r="73" spans="1:18" x14ac:dyDescent="0.25">
      <c r="A73" s="50"/>
      <c r="B73" s="61"/>
      <c r="C73" s="116"/>
      <c r="D73" s="55"/>
      <c r="E73" s="91" t="s">
        <v>222</v>
      </c>
      <c r="G73" s="91" t="s">
        <v>153</v>
      </c>
      <c r="I73" s="6" t="s">
        <v>219</v>
      </c>
      <c r="J73" s="228">
        <v>103.5</v>
      </c>
      <c r="K73" s="228">
        <v>105.9</v>
      </c>
      <c r="L73" s="228">
        <v>108</v>
      </c>
      <c r="M73" s="228">
        <v>109.2</v>
      </c>
      <c r="N73" s="228">
        <v>111.4</v>
      </c>
      <c r="O73" s="228">
        <v>121.2</v>
      </c>
      <c r="P73" s="228">
        <v>129.19999999999999</v>
      </c>
      <c r="Q73" s="228">
        <v>131.9</v>
      </c>
      <c r="R73" s="228"/>
    </row>
    <row r="74" spans="1:18" x14ac:dyDescent="0.25">
      <c r="A74" s="50"/>
      <c r="B74" s="61"/>
      <c r="C74" s="116"/>
      <c r="D74" s="55"/>
      <c r="E74" s="91" t="s">
        <v>223</v>
      </c>
      <c r="G74" s="91" t="s">
        <v>153</v>
      </c>
      <c r="I74" s="6" t="s">
        <v>219</v>
      </c>
      <c r="J74" s="228">
        <v>104</v>
      </c>
      <c r="K74" s="228">
        <v>106.5</v>
      </c>
      <c r="L74" s="228">
        <v>108.3</v>
      </c>
      <c r="M74" s="228">
        <v>108.8</v>
      </c>
      <c r="N74" s="228">
        <v>112.1</v>
      </c>
      <c r="O74" s="228">
        <v>121.8</v>
      </c>
      <c r="P74" s="228">
        <v>129.69999999999999</v>
      </c>
      <c r="Q74" s="228">
        <v>132.30000000000001</v>
      </c>
      <c r="R74" s="228"/>
    </row>
    <row r="75" spans="1:18" x14ac:dyDescent="0.25">
      <c r="A75" s="50"/>
      <c r="B75" s="61"/>
      <c r="C75" s="116"/>
      <c r="D75" s="55"/>
      <c r="E75" s="91" t="s">
        <v>224</v>
      </c>
      <c r="G75" s="91" t="s">
        <v>153</v>
      </c>
      <c r="I75" s="6" t="s">
        <v>219</v>
      </c>
      <c r="J75" s="228">
        <v>104.3</v>
      </c>
      <c r="K75" s="228">
        <v>106.6</v>
      </c>
      <c r="L75" s="228">
        <v>108.4</v>
      </c>
      <c r="M75" s="228">
        <v>109.2</v>
      </c>
      <c r="N75" s="228">
        <v>112.4</v>
      </c>
      <c r="O75" s="228">
        <v>122.3</v>
      </c>
      <c r="P75" s="228">
        <v>129.6</v>
      </c>
      <c r="Q75" s="228">
        <v>132.19999999999999</v>
      </c>
      <c r="R75" s="228"/>
    </row>
    <row r="76" spans="1:18" x14ac:dyDescent="0.25">
      <c r="A76" s="50"/>
      <c r="B76" s="61"/>
      <c r="C76" s="116"/>
      <c r="D76" s="55"/>
      <c r="E76" s="91" t="s">
        <v>225</v>
      </c>
      <c r="G76" s="91" t="s">
        <v>153</v>
      </c>
      <c r="I76" s="6" t="s">
        <v>219</v>
      </c>
      <c r="J76" s="228">
        <v>104.4</v>
      </c>
      <c r="K76" s="228">
        <v>106.7</v>
      </c>
      <c r="L76" s="228">
        <v>108.3</v>
      </c>
      <c r="M76" s="228">
        <v>109.2</v>
      </c>
      <c r="N76" s="228">
        <v>113.4</v>
      </c>
      <c r="O76" s="228">
        <v>124.3</v>
      </c>
      <c r="P76" s="228">
        <v>130</v>
      </c>
      <c r="Q76" s="228">
        <v>132.4</v>
      </c>
      <c r="R76" s="228"/>
    </row>
    <row r="77" spans="1:18" x14ac:dyDescent="0.25">
      <c r="A77" s="50"/>
      <c r="B77" s="61"/>
      <c r="C77" s="116"/>
      <c r="D77" s="55"/>
      <c r="E77" s="91" t="s">
        <v>226</v>
      </c>
      <c r="G77" s="91" t="s">
        <v>153</v>
      </c>
      <c r="I77" s="6" t="s">
        <v>219</v>
      </c>
      <c r="J77" s="228">
        <v>104.7</v>
      </c>
      <c r="K77" s="228">
        <v>106.9</v>
      </c>
      <c r="L77" s="228">
        <v>108.5</v>
      </c>
      <c r="M77" s="228">
        <v>109.1</v>
      </c>
      <c r="N77" s="228">
        <v>114.1</v>
      </c>
      <c r="O77" s="228">
        <v>124.8</v>
      </c>
      <c r="P77" s="228">
        <v>130.19999999999999</v>
      </c>
      <c r="Q77" s="228">
        <v>132.5</v>
      </c>
      <c r="R77" s="228"/>
    </row>
    <row r="78" spans="1:18" x14ac:dyDescent="0.25">
      <c r="A78" s="50"/>
      <c r="B78" s="61"/>
      <c r="C78" s="116"/>
      <c r="D78" s="55"/>
      <c r="E78" s="91" t="s">
        <v>227</v>
      </c>
      <c r="G78" s="91" t="s">
        <v>153</v>
      </c>
      <c r="I78" s="6" t="s">
        <v>219</v>
      </c>
      <c r="J78" s="228">
        <v>105</v>
      </c>
      <c r="K78" s="228">
        <v>107.1</v>
      </c>
      <c r="L78" s="228">
        <v>108.5</v>
      </c>
      <c r="M78" s="228">
        <v>109.4</v>
      </c>
      <c r="N78" s="228">
        <v>114.7</v>
      </c>
      <c r="O78" s="228">
        <v>125.3</v>
      </c>
      <c r="P78" s="228">
        <v>130.4</v>
      </c>
      <c r="Q78" s="228">
        <v>132.80000000000001</v>
      </c>
      <c r="R78" s="228"/>
    </row>
    <row r="79" spans="1:18" x14ac:dyDescent="0.25">
      <c r="A79" s="50"/>
      <c r="B79" s="61"/>
      <c r="C79" s="116"/>
      <c r="D79" s="55"/>
      <c r="E79" s="91" t="s">
        <v>228</v>
      </c>
      <c r="G79" s="91" t="s">
        <v>153</v>
      </c>
      <c r="I79" s="6" t="s">
        <v>219</v>
      </c>
      <c r="J79" s="228">
        <v>104.5</v>
      </c>
      <c r="K79" s="228">
        <v>106.4</v>
      </c>
      <c r="L79" s="228">
        <v>108.3</v>
      </c>
      <c r="M79" s="228">
        <v>109.3</v>
      </c>
      <c r="N79" s="228">
        <v>114.6</v>
      </c>
      <c r="O79" s="228">
        <v>124.8</v>
      </c>
      <c r="P79" s="228">
        <v>129.5</v>
      </c>
      <c r="Q79" s="228">
        <v>131.9</v>
      </c>
      <c r="R79" s="228"/>
    </row>
    <row r="80" spans="1:18" x14ac:dyDescent="0.25">
      <c r="A80" s="50"/>
      <c r="B80" s="61"/>
      <c r="C80" s="116"/>
      <c r="D80" s="55"/>
      <c r="E80" s="91" t="s">
        <v>229</v>
      </c>
      <c r="G80" s="91" t="s">
        <v>153</v>
      </c>
      <c r="I80" s="6" t="s">
        <v>219</v>
      </c>
      <c r="J80" s="228">
        <v>104.9</v>
      </c>
      <c r="K80" s="228">
        <v>106.8</v>
      </c>
      <c r="L80" s="228">
        <v>108.6</v>
      </c>
      <c r="M80" s="228">
        <v>109.4</v>
      </c>
      <c r="N80" s="228">
        <v>115.4</v>
      </c>
      <c r="O80" s="228">
        <v>126</v>
      </c>
      <c r="P80" s="228">
        <v>130.4</v>
      </c>
      <c r="Q80" s="228">
        <v>132.9</v>
      </c>
      <c r="R80" s="228"/>
    </row>
    <row r="81" spans="1:18" x14ac:dyDescent="0.25">
      <c r="A81" s="50"/>
      <c r="B81" s="61"/>
      <c r="C81" s="116"/>
      <c r="D81" s="55"/>
      <c r="E81" s="91" t="s">
        <v>230</v>
      </c>
      <c r="F81" s="91"/>
      <c r="G81" s="91" t="s">
        <v>153</v>
      </c>
      <c r="I81" s="6" t="s">
        <v>219</v>
      </c>
      <c r="J81" s="228">
        <v>105.1</v>
      </c>
      <c r="K81" s="228">
        <v>107</v>
      </c>
      <c r="L81" s="228">
        <v>108.6</v>
      </c>
      <c r="M81" s="228">
        <v>109.7</v>
      </c>
      <c r="N81" s="228">
        <v>116.5</v>
      </c>
      <c r="O81" s="228">
        <v>126.8</v>
      </c>
      <c r="P81" s="228">
        <v>131.1</v>
      </c>
      <c r="Q81" s="228">
        <v>133.69999999999999</v>
      </c>
      <c r="R81" s="228"/>
    </row>
    <row r="82" spans="1:18" x14ac:dyDescent="0.25">
      <c r="A82" s="50"/>
      <c r="B82" s="61"/>
      <c r="C82" s="116"/>
      <c r="D82" s="55"/>
      <c r="E82" s="91"/>
      <c r="F82" s="91"/>
      <c r="G82" s="91"/>
      <c r="I82" s="171"/>
    </row>
    <row r="83" spans="1:18" s="30" customFormat="1" x14ac:dyDescent="0.25">
      <c r="A83" s="50"/>
      <c r="B83" s="61"/>
      <c r="C83" s="116"/>
      <c r="D83" s="55"/>
      <c r="E83" s="91" t="s">
        <v>231</v>
      </c>
      <c r="F83" s="91"/>
      <c r="G83" s="91" t="s">
        <v>153</v>
      </c>
      <c r="I83" s="171"/>
      <c r="K83" s="254"/>
      <c r="L83" s="254"/>
      <c r="M83" s="254">
        <v>4</v>
      </c>
      <c r="N83" s="254">
        <v>3</v>
      </c>
      <c r="O83" s="254">
        <v>2</v>
      </c>
      <c r="P83" s="254">
        <v>1</v>
      </c>
      <c r="Q83" s="254">
        <v>0</v>
      </c>
      <c r="R83" s="254"/>
    </row>
    <row r="84" spans="1:18" x14ac:dyDescent="0.25">
      <c r="A84" s="50"/>
      <c r="B84" s="61"/>
      <c r="C84" s="116"/>
      <c r="D84" s="55"/>
      <c r="I84" s="6"/>
    </row>
    <row r="85" spans="1:18" ht="12.9" x14ac:dyDescent="0.25">
      <c r="A85" s="285" t="s">
        <v>232</v>
      </c>
      <c r="B85" s="286"/>
      <c r="C85" s="287"/>
      <c r="D85" s="287"/>
      <c r="E85" s="287"/>
      <c r="F85" s="287"/>
      <c r="G85" s="287"/>
      <c r="H85" s="287"/>
      <c r="I85" s="287"/>
      <c r="J85" s="287"/>
      <c r="K85" s="287"/>
      <c r="L85" s="287"/>
      <c r="M85" s="287"/>
      <c r="N85" s="287"/>
      <c r="O85" s="287"/>
      <c r="P85" s="287"/>
      <c r="Q85" s="287"/>
      <c r="R85" s="287"/>
    </row>
    <row r="86" spans="1:18" x14ac:dyDescent="0.25">
      <c r="A86" s="50"/>
      <c r="B86" s="61" t="s">
        <v>233</v>
      </c>
      <c r="C86" s="283"/>
      <c r="D86" s="55"/>
      <c r="I86" s="6"/>
    </row>
    <row r="87" spans="1:18" x14ac:dyDescent="0.25">
      <c r="A87" s="50"/>
      <c r="B87" s="61"/>
      <c r="C87" s="283"/>
      <c r="D87" s="55"/>
      <c r="E87" s="7" t="s">
        <v>234</v>
      </c>
      <c r="F87" s="292">
        <v>100.14279315168956</v>
      </c>
      <c r="G87" s="7" t="s">
        <v>235</v>
      </c>
      <c r="I87" s="6" t="s">
        <v>236</v>
      </c>
    </row>
    <row r="88" spans="1:18" x14ac:dyDescent="0.25">
      <c r="A88" s="50"/>
      <c r="B88" s="61"/>
      <c r="C88" s="283"/>
      <c r="D88" s="55"/>
      <c r="E88" s="7" t="s">
        <v>237</v>
      </c>
      <c r="F88" s="292">
        <v>1412.917700349386</v>
      </c>
      <c r="G88" s="7" t="s">
        <v>235</v>
      </c>
      <c r="I88" s="6" t="s">
        <v>238</v>
      </c>
    </row>
    <row r="89" spans="1:18" x14ac:dyDescent="0.25">
      <c r="A89" s="50"/>
      <c r="B89" s="61"/>
      <c r="C89" s="283"/>
      <c r="D89" s="55"/>
      <c r="E89" s="7" t="s">
        <v>239</v>
      </c>
      <c r="F89" s="292">
        <v>2260.3511631556275</v>
      </c>
      <c r="G89" s="7" t="s">
        <v>235</v>
      </c>
      <c r="I89" s="6" t="s">
        <v>240</v>
      </c>
    </row>
    <row r="90" spans="1:18" x14ac:dyDescent="0.25">
      <c r="A90" s="50"/>
      <c r="B90" s="61"/>
      <c r="C90" s="283"/>
      <c r="D90" s="55"/>
      <c r="E90" s="7" t="s">
        <v>241</v>
      </c>
      <c r="F90" s="292">
        <v>166.35833363837622</v>
      </c>
      <c r="G90" s="7" t="s">
        <v>235</v>
      </c>
      <c r="I90" s="6" t="s">
        <v>242</v>
      </c>
    </row>
    <row r="91" spans="1:18" x14ac:dyDescent="0.25">
      <c r="A91" s="50"/>
      <c r="B91" s="61"/>
      <c r="C91" s="283"/>
      <c r="D91" s="55"/>
      <c r="E91" s="7" t="s">
        <v>243</v>
      </c>
      <c r="F91" s="292"/>
      <c r="G91" s="7" t="s">
        <v>235</v>
      </c>
      <c r="I91" s="6" t="s">
        <v>244</v>
      </c>
    </row>
    <row r="92" spans="1:18" x14ac:dyDescent="0.25">
      <c r="A92" s="50"/>
      <c r="B92" s="61"/>
      <c r="C92" s="116"/>
      <c r="D92" s="55"/>
      <c r="I92" s="6"/>
      <c r="M92" s="207"/>
      <c r="N92" s="207"/>
      <c r="O92" s="207"/>
      <c r="P92" s="207"/>
      <c r="Q92" s="207"/>
      <c r="R92" s="207"/>
    </row>
    <row r="93" spans="1:18" x14ac:dyDescent="0.25">
      <c r="A93" s="50"/>
      <c r="B93" s="61" t="s">
        <v>245</v>
      </c>
      <c r="C93" s="116"/>
      <c r="D93" s="55"/>
      <c r="I93" s="6"/>
    </row>
    <row r="94" spans="1:18" x14ac:dyDescent="0.25">
      <c r="A94" s="50"/>
      <c r="B94" s="61"/>
      <c r="C94" s="116"/>
      <c r="D94" s="55"/>
      <c r="E94" s="7" t="s">
        <v>246</v>
      </c>
      <c r="G94" s="7" t="s">
        <v>247</v>
      </c>
      <c r="I94" s="6" t="s">
        <v>248</v>
      </c>
      <c r="M94" s="240">
        <v>4.9599999999999998E-2</v>
      </c>
      <c r="N94" s="240">
        <v>4.9599999999999998E-2</v>
      </c>
      <c r="O94" s="240">
        <v>4.9599999999999998E-2</v>
      </c>
      <c r="P94" s="240">
        <v>4.9599999999999998E-2</v>
      </c>
      <c r="Q94" s="240">
        <v>4.9599999999999998E-2</v>
      </c>
      <c r="R94" s="240"/>
    </row>
    <row r="95" spans="1:18" x14ac:dyDescent="0.25">
      <c r="A95" s="50"/>
      <c r="B95" s="61"/>
      <c r="C95" s="116"/>
      <c r="D95" s="55"/>
      <c r="E95" s="7" t="s">
        <v>249</v>
      </c>
      <c r="G95" s="7" t="s">
        <v>247</v>
      </c>
      <c r="I95" s="6" t="s">
        <v>250</v>
      </c>
      <c r="M95" s="240">
        <v>3.9100000000000003E-2</v>
      </c>
      <c r="N95" s="240">
        <v>3.9100000000000003E-2</v>
      </c>
      <c r="O95" s="240">
        <v>3.9100000000000003E-2</v>
      </c>
      <c r="P95" s="240">
        <v>3.9100000000000003E-2</v>
      </c>
      <c r="Q95" s="240">
        <v>3.9100000000000003E-2</v>
      </c>
      <c r="R95" s="240"/>
    </row>
    <row r="96" spans="1:18" x14ac:dyDescent="0.25">
      <c r="A96" s="50"/>
      <c r="B96" s="61"/>
      <c r="C96" s="116"/>
      <c r="D96" s="55"/>
      <c r="E96" s="7" t="s">
        <v>251</v>
      </c>
      <c r="G96" s="7" t="s">
        <v>247</v>
      </c>
      <c r="I96" s="6" t="s">
        <v>252</v>
      </c>
      <c r="M96" s="240">
        <v>5.0575500000000002E-2</v>
      </c>
      <c r="N96" s="240">
        <v>5.0575500000000002E-2</v>
      </c>
      <c r="O96" s="240">
        <v>5.0575500000000002E-2</v>
      </c>
      <c r="P96" s="240">
        <v>5.0575500000000002E-2</v>
      </c>
      <c r="Q96" s="240">
        <v>5.0575500000000002E-2</v>
      </c>
      <c r="R96" s="240"/>
    </row>
    <row r="97" spans="1:26" x14ac:dyDescent="0.25">
      <c r="A97" s="50"/>
      <c r="B97" s="61"/>
      <c r="C97" s="116"/>
      <c r="D97" s="55"/>
      <c r="E97" s="7" t="s">
        <v>253</v>
      </c>
      <c r="G97" s="7" t="s">
        <v>247</v>
      </c>
      <c r="I97" s="6" t="s">
        <v>254</v>
      </c>
      <c r="M97" s="240">
        <v>0.06</v>
      </c>
      <c r="N97" s="240">
        <v>0.06</v>
      </c>
      <c r="O97" s="240">
        <v>0.06</v>
      </c>
      <c r="P97" s="240">
        <v>0.06</v>
      </c>
      <c r="Q97" s="240">
        <v>0.06</v>
      </c>
      <c r="R97" s="240"/>
    </row>
    <row r="98" spans="1:26" x14ac:dyDescent="0.25">
      <c r="A98" s="50"/>
      <c r="B98" s="61"/>
      <c r="C98" s="116"/>
      <c r="D98" s="55"/>
      <c r="E98" s="7" t="s">
        <v>255</v>
      </c>
      <c r="G98" s="7" t="s">
        <v>247</v>
      </c>
      <c r="I98" s="6" t="s">
        <v>256</v>
      </c>
      <c r="M98" s="240"/>
      <c r="N98" s="240"/>
      <c r="O98" s="240"/>
      <c r="P98" s="240"/>
      <c r="Q98" s="240"/>
      <c r="R98" s="240"/>
    </row>
    <row r="99" spans="1:26" x14ac:dyDescent="0.25">
      <c r="A99" s="50"/>
      <c r="B99" s="61"/>
      <c r="C99" s="116"/>
      <c r="D99" s="55"/>
      <c r="I99" s="6"/>
      <c r="M99" s="207"/>
      <c r="N99" s="207"/>
      <c r="O99" s="207"/>
      <c r="P99" s="207"/>
      <c r="Q99" s="207"/>
      <c r="R99" s="207"/>
    </row>
    <row r="100" spans="1:26" x14ac:dyDescent="0.25">
      <c r="A100" s="50"/>
      <c r="B100" s="61" t="s">
        <v>257</v>
      </c>
      <c r="C100" s="283"/>
      <c r="D100" s="55"/>
      <c r="I100" s="6"/>
      <c r="M100" s="207"/>
      <c r="N100" s="207"/>
      <c r="O100" s="207"/>
      <c r="P100" s="207"/>
      <c r="Q100" s="207"/>
      <c r="R100" s="207"/>
    </row>
    <row r="101" spans="1:26" x14ac:dyDescent="0.25">
      <c r="A101" s="50"/>
      <c r="B101" s="61"/>
      <c r="C101" s="283"/>
      <c r="D101" s="55"/>
      <c r="E101" s="7" t="s">
        <v>258</v>
      </c>
      <c r="G101" s="7" t="s">
        <v>247</v>
      </c>
      <c r="I101" s="6" t="s">
        <v>259</v>
      </c>
      <c r="M101" s="240">
        <v>2.2181345335277269E-2</v>
      </c>
      <c r="N101" s="240">
        <v>2.2181345335277269E-2</v>
      </c>
      <c r="O101" s="240">
        <v>2.2181345335277269E-2</v>
      </c>
      <c r="P101" s="240">
        <v>2.2181345335277269E-2</v>
      </c>
      <c r="Q101" s="240">
        <v>2.2181345335277269E-2</v>
      </c>
      <c r="R101" s="240"/>
      <c r="T101" s="7">
        <v>2.9195763820156317E-2</v>
      </c>
      <c r="U101" s="7">
        <v>2.9195763820156317E-2</v>
      </c>
      <c r="V101" s="7">
        <v>2.9195763820156317E-2</v>
      </c>
      <c r="W101" s="7">
        <v>2.9195763820156317E-2</v>
      </c>
      <c r="X101" s="7">
        <v>2.9195763820156317E-2</v>
      </c>
      <c r="Y101" s="7">
        <v>2.9195763820156317E-2</v>
      </c>
      <c r="Z101" s="7">
        <v>2.9195763820156317E-2</v>
      </c>
    </row>
    <row r="102" spans="1:26" x14ac:dyDescent="0.25">
      <c r="A102" s="50"/>
      <c r="B102" s="61"/>
      <c r="C102" s="283"/>
      <c r="D102" s="55"/>
      <c r="E102" s="7" t="s">
        <v>260</v>
      </c>
      <c r="G102" s="7" t="s">
        <v>247</v>
      </c>
      <c r="I102" s="6" t="s">
        <v>261</v>
      </c>
      <c r="M102" s="240">
        <v>2.2181345335277269E-2</v>
      </c>
      <c r="N102" s="240">
        <v>2.2181345335277269E-2</v>
      </c>
      <c r="O102" s="240">
        <v>2.2181345335277269E-2</v>
      </c>
      <c r="P102" s="240">
        <v>2.2181345335277269E-2</v>
      </c>
      <c r="Q102" s="240">
        <v>2.2181345335277269E-2</v>
      </c>
      <c r="R102" s="240"/>
    </row>
    <row r="103" spans="1:26" x14ac:dyDescent="0.25">
      <c r="A103" s="50"/>
      <c r="B103" s="61"/>
      <c r="C103" s="283"/>
      <c r="D103" s="55"/>
      <c r="E103" s="7" t="s">
        <v>262</v>
      </c>
      <c r="G103" s="7" t="s">
        <v>247</v>
      </c>
      <c r="I103" s="6" t="s">
        <v>263</v>
      </c>
      <c r="M103" s="240">
        <v>2.2181345335277269E-2</v>
      </c>
      <c r="N103" s="240">
        <v>2.2181345335277269E-2</v>
      </c>
      <c r="O103" s="240">
        <v>2.2181345335277269E-2</v>
      </c>
      <c r="P103" s="240">
        <v>2.2181345335277269E-2</v>
      </c>
      <c r="Q103" s="240">
        <v>2.2181345335277269E-2</v>
      </c>
      <c r="R103" s="240"/>
    </row>
    <row r="104" spans="1:26" x14ac:dyDescent="0.25">
      <c r="A104" s="50"/>
      <c r="B104" s="61"/>
      <c r="C104" s="283"/>
      <c r="D104" s="55"/>
      <c r="E104" s="7" t="s">
        <v>264</v>
      </c>
      <c r="G104" s="7" t="s">
        <v>247</v>
      </c>
      <c r="I104" s="6" t="s">
        <v>265</v>
      </c>
      <c r="M104" s="240">
        <v>2.2181345335277269E-2</v>
      </c>
      <c r="N104" s="240">
        <v>2.2181345335277269E-2</v>
      </c>
      <c r="O104" s="240">
        <v>2.2181345335277269E-2</v>
      </c>
      <c r="P104" s="240">
        <v>2.2181345335277269E-2</v>
      </c>
      <c r="Q104" s="240">
        <v>2.2181345335277269E-2</v>
      </c>
      <c r="R104" s="240"/>
    </row>
    <row r="105" spans="1:26" x14ac:dyDescent="0.25">
      <c r="A105" s="50"/>
      <c r="B105" s="61"/>
      <c r="C105" s="283"/>
      <c r="D105" s="55"/>
      <c r="E105" s="7" t="s">
        <v>266</v>
      </c>
      <c r="G105" s="7" t="s">
        <v>247</v>
      </c>
      <c r="I105" s="6" t="s">
        <v>267</v>
      </c>
      <c r="M105" s="240"/>
      <c r="N105" s="240"/>
      <c r="O105" s="240"/>
      <c r="P105" s="240"/>
      <c r="Q105" s="240"/>
      <c r="R105" s="240"/>
    </row>
    <row r="106" spans="1:26" x14ac:dyDescent="0.25">
      <c r="A106" s="50"/>
      <c r="B106" s="61"/>
      <c r="C106" s="116"/>
      <c r="D106" s="55"/>
      <c r="I106" s="6"/>
      <c r="M106" s="207"/>
      <c r="N106" s="207"/>
      <c r="O106" s="207"/>
      <c r="P106" s="207"/>
      <c r="Q106" s="207"/>
      <c r="R106" s="207"/>
    </row>
    <row r="107" spans="1:26" x14ac:dyDescent="0.25">
      <c r="A107" s="50"/>
      <c r="B107" s="61" t="s">
        <v>268</v>
      </c>
      <c r="C107" s="116"/>
      <c r="D107" s="55"/>
      <c r="I107" s="6"/>
      <c r="M107" s="207"/>
      <c r="N107" s="207"/>
      <c r="O107" s="207"/>
      <c r="P107" s="207"/>
      <c r="Q107" s="207"/>
      <c r="R107" s="207"/>
    </row>
    <row r="108" spans="1:26" x14ac:dyDescent="0.25">
      <c r="A108" s="50"/>
      <c r="B108" s="61"/>
      <c r="C108" s="116"/>
      <c r="D108" s="55"/>
      <c r="E108" s="7" t="s">
        <v>269</v>
      </c>
      <c r="G108" s="7" t="s">
        <v>247</v>
      </c>
      <c r="I108" s="6" t="s">
        <v>270</v>
      </c>
      <c r="M108" s="240">
        <v>3.1200592500000068E-2</v>
      </c>
      <c r="N108" s="240">
        <v>3.1200592500000068E-2</v>
      </c>
      <c r="O108" s="240">
        <v>3.1200592500000068E-2</v>
      </c>
      <c r="P108" s="240">
        <v>3.1200592500000068E-2</v>
      </c>
      <c r="Q108" s="240">
        <v>3.1200592500000068E-2</v>
      </c>
      <c r="R108" s="240"/>
      <c r="T108" s="7">
        <v>2.9195763820156317E-2</v>
      </c>
      <c r="U108" s="7">
        <v>2.9195763820156317E-2</v>
      </c>
      <c r="V108" s="7">
        <v>2.9195763820156317E-2</v>
      </c>
      <c r="W108" s="7">
        <v>2.9195763820156317E-2</v>
      </c>
      <c r="X108" s="7">
        <v>2.9195763820156317E-2</v>
      </c>
      <c r="Y108" s="7">
        <v>2.9195763820156317E-2</v>
      </c>
      <c r="Z108" s="7">
        <v>2.9195763820156317E-2</v>
      </c>
    </row>
    <row r="109" spans="1:26" x14ac:dyDescent="0.25">
      <c r="A109" s="50"/>
      <c r="B109" s="61"/>
      <c r="C109" s="116"/>
      <c r="D109" s="55"/>
      <c r="E109" s="7" t="s">
        <v>271</v>
      </c>
      <c r="G109" s="7" t="s">
        <v>247</v>
      </c>
      <c r="I109" s="6" t="s">
        <v>272</v>
      </c>
      <c r="M109" s="240">
        <v>3.1200592500000068E-2</v>
      </c>
      <c r="N109" s="240">
        <v>3.1200592500000068E-2</v>
      </c>
      <c r="O109" s="240">
        <v>3.1200592500000068E-2</v>
      </c>
      <c r="P109" s="240">
        <v>3.1200592500000068E-2</v>
      </c>
      <c r="Q109" s="240">
        <v>3.1200592500000068E-2</v>
      </c>
      <c r="R109" s="240"/>
    </row>
    <row r="110" spans="1:26" x14ac:dyDescent="0.25">
      <c r="A110" s="50"/>
      <c r="B110" s="61"/>
      <c r="C110" s="116"/>
      <c r="D110" s="55"/>
      <c r="E110" s="7" t="s">
        <v>273</v>
      </c>
      <c r="G110" s="7" t="s">
        <v>247</v>
      </c>
      <c r="I110" s="6" t="s">
        <v>274</v>
      </c>
      <c r="M110" s="240">
        <v>3.1200592500000068E-2</v>
      </c>
      <c r="N110" s="240">
        <v>3.1200592500000068E-2</v>
      </c>
      <c r="O110" s="240">
        <v>3.1200592500000068E-2</v>
      </c>
      <c r="P110" s="240">
        <v>3.1200592500000068E-2</v>
      </c>
      <c r="Q110" s="240">
        <v>3.1200592500000068E-2</v>
      </c>
      <c r="R110" s="240"/>
    </row>
    <row r="111" spans="1:26" x14ac:dyDescent="0.25">
      <c r="A111" s="50"/>
      <c r="B111" s="61"/>
      <c r="C111" s="116"/>
      <c r="D111" s="55"/>
      <c r="E111" s="7" t="s">
        <v>275</v>
      </c>
      <c r="G111" s="7" t="s">
        <v>247</v>
      </c>
      <c r="I111" s="6" t="s">
        <v>276</v>
      </c>
      <c r="M111" s="240">
        <v>3.1200592500000068E-2</v>
      </c>
      <c r="N111" s="240">
        <v>3.1200592500000068E-2</v>
      </c>
      <c r="O111" s="240">
        <v>3.1200592500000068E-2</v>
      </c>
      <c r="P111" s="240">
        <v>3.1200592500000068E-2</v>
      </c>
      <c r="Q111" s="240">
        <v>3.1200592500000068E-2</v>
      </c>
      <c r="R111" s="240"/>
    </row>
    <row r="112" spans="1:26" x14ac:dyDescent="0.25">
      <c r="A112" s="50"/>
      <c r="B112" s="61"/>
      <c r="C112" s="116"/>
      <c r="D112" s="55"/>
      <c r="E112" s="7" t="s">
        <v>277</v>
      </c>
      <c r="G112" s="7" t="s">
        <v>247</v>
      </c>
      <c r="I112" s="6" t="s">
        <v>278</v>
      </c>
      <c r="M112" s="240"/>
      <c r="N112" s="240"/>
      <c r="O112" s="240"/>
      <c r="P112" s="240"/>
      <c r="Q112" s="240"/>
      <c r="R112" s="240"/>
    </row>
    <row r="113" spans="1:27" x14ac:dyDescent="0.25">
      <c r="A113" s="50"/>
      <c r="B113" s="61"/>
      <c r="C113" s="116"/>
      <c r="D113" s="55"/>
    </row>
    <row r="114" spans="1:27" ht="12.9" x14ac:dyDescent="0.25">
      <c r="A114" s="285" t="s">
        <v>279</v>
      </c>
      <c r="B114" s="286"/>
      <c r="C114" s="287"/>
      <c r="D114" s="287"/>
      <c r="E114" s="287"/>
      <c r="F114" s="287"/>
      <c r="G114" s="287"/>
      <c r="H114" s="287"/>
      <c r="I114" s="287"/>
      <c r="J114" s="287"/>
      <c r="K114" s="287"/>
      <c r="L114" s="287"/>
      <c r="M114" s="287"/>
      <c r="N114" s="287"/>
      <c r="O114" s="287"/>
      <c r="P114" s="287"/>
      <c r="Q114" s="287"/>
      <c r="R114" s="287"/>
    </row>
    <row r="115" spans="1:27" x14ac:dyDescent="0.25">
      <c r="A115" s="50"/>
      <c r="B115" s="61"/>
      <c r="C115" s="116"/>
      <c r="D115" s="55"/>
    </row>
    <row r="116" spans="1:27" x14ac:dyDescent="0.25">
      <c r="A116" s="50"/>
      <c r="B116" s="61" t="s">
        <v>280</v>
      </c>
      <c r="C116" s="116"/>
      <c r="D116" s="55"/>
    </row>
    <row r="117" spans="1:27" x14ac:dyDescent="0.25">
      <c r="A117" s="50"/>
      <c r="B117" s="61"/>
      <c r="C117" s="116"/>
      <c r="D117" s="55"/>
      <c r="E117" s="7" t="s">
        <v>281</v>
      </c>
      <c r="F117" s="100">
        <v>1E-3</v>
      </c>
      <c r="G117" s="7" t="s">
        <v>282</v>
      </c>
    </row>
    <row r="118" spans="1:27" x14ac:dyDescent="0.25">
      <c r="A118" s="50"/>
      <c r="B118" s="61"/>
      <c r="C118" s="116"/>
      <c r="D118" s="55"/>
      <c r="E118" s="7" t="s">
        <v>283</v>
      </c>
      <c r="F118" s="100">
        <v>1E-3</v>
      </c>
      <c r="G118" s="7" t="s">
        <v>282</v>
      </c>
    </row>
    <row r="119" spans="1:27" x14ac:dyDescent="0.25">
      <c r="A119" s="50"/>
      <c r="B119" s="61"/>
      <c r="C119" s="116"/>
      <c r="D119" s="55"/>
    </row>
    <row r="120" spans="1:27" x14ac:dyDescent="0.25">
      <c r="A120" s="50"/>
      <c r="B120" s="61"/>
      <c r="C120" s="116"/>
      <c r="D120" s="55"/>
    </row>
    <row r="121" spans="1:27" s="161" customFormat="1" x14ac:dyDescent="0.25">
      <c r="A121" s="157" t="s">
        <v>114</v>
      </c>
      <c r="B121" s="158"/>
      <c r="C121" s="159"/>
      <c r="D121" s="160"/>
    </row>
    <row r="122" spans="1:27" ht="12.65" customHeight="1" x14ac:dyDescent="0.25">
      <c r="B122" s="61"/>
      <c r="C122" s="116"/>
      <c r="D122" s="55"/>
    </row>
    <row r="123" spans="1:27" hidden="1" x14ac:dyDescent="0.25">
      <c r="A123" s="50"/>
      <c r="B123" s="188"/>
      <c r="C123" s="189"/>
      <c r="D123" s="190"/>
    </row>
    <row r="124" spans="1:27" hidden="1" x14ac:dyDescent="0.25">
      <c r="B124" s="61"/>
      <c r="C124" s="116"/>
      <c r="D124" s="55"/>
    </row>
    <row r="125" spans="1:27" hidden="1" x14ac:dyDescent="0.25">
      <c r="A125" s="50"/>
      <c r="B125" s="188"/>
      <c r="C125" s="189"/>
      <c r="D125" s="190"/>
    </row>
    <row r="126" spans="1:27" hidden="1" x14ac:dyDescent="0.25">
      <c r="B126" s="61"/>
      <c r="C126" s="116"/>
      <c r="D126" s="55"/>
      <c r="M126" s="206"/>
      <c r="N126" s="206"/>
      <c r="O126" s="206"/>
      <c r="P126" s="206"/>
      <c r="Q126" s="206"/>
    </row>
    <row r="127" spans="1:27" s="172" customFormat="1" hidden="1" x14ac:dyDescent="0.25">
      <c r="A127" s="173"/>
      <c r="B127" s="174"/>
      <c r="C127" s="175"/>
      <c r="D127" s="176"/>
      <c r="T127" s="177"/>
      <c r="U127" s="177"/>
      <c r="V127" s="177"/>
      <c r="W127" s="177"/>
      <c r="X127" s="177"/>
      <c r="Y127" s="177"/>
      <c r="Z127" s="177"/>
      <c r="AA127" s="177"/>
    </row>
    <row r="128" spans="1:27" hidden="1" x14ac:dyDescent="0.25">
      <c r="B128" s="61"/>
      <c r="C128" s="116"/>
      <c r="D128" s="55"/>
    </row>
    <row r="129" spans="2:4" hidden="1" x14ac:dyDescent="0.25">
      <c r="B129" s="61"/>
      <c r="C129" s="116"/>
      <c r="D129" s="55"/>
    </row>
    <row r="130" spans="2:4" hidden="1" x14ac:dyDescent="0.25">
      <c r="B130" s="61"/>
      <c r="C130" s="116"/>
      <c r="D130" s="55"/>
    </row>
    <row r="131" spans="2:4" hidden="1" x14ac:dyDescent="0.25">
      <c r="B131" s="61"/>
      <c r="C131" s="116"/>
      <c r="D131" s="55"/>
    </row>
    <row r="132" spans="2:4" hidden="1" x14ac:dyDescent="0.25">
      <c r="B132" s="61"/>
      <c r="C132" s="116"/>
      <c r="D132" s="55"/>
    </row>
    <row r="133" spans="2:4" hidden="1" x14ac:dyDescent="0.25">
      <c r="B133" s="61"/>
      <c r="C133" s="116"/>
      <c r="D133" s="55"/>
    </row>
    <row r="134" spans="2:4" hidden="1" x14ac:dyDescent="0.25">
      <c r="B134" s="61"/>
      <c r="C134" s="116"/>
      <c r="D134" s="55"/>
    </row>
    <row r="135" spans="2:4" hidden="1" x14ac:dyDescent="0.25">
      <c r="B135" s="61"/>
      <c r="C135" s="116"/>
      <c r="D135" s="55"/>
    </row>
    <row r="136" spans="2:4" hidden="1" x14ac:dyDescent="0.25">
      <c r="B136" s="61"/>
      <c r="C136" s="116"/>
      <c r="D136" s="55"/>
    </row>
    <row r="137" spans="2:4" hidden="1" x14ac:dyDescent="0.25">
      <c r="B137" s="61"/>
      <c r="C137" s="116"/>
      <c r="D137" s="55"/>
    </row>
    <row r="138" spans="2:4" hidden="1" x14ac:dyDescent="0.25">
      <c r="B138" s="61"/>
      <c r="C138" s="116"/>
      <c r="D138" s="55"/>
    </row>
    <row r="139" spans="2:4" hidden="1" x14ac:dyDescent="0.25">
      <c r="B139" s="61"/>
      <c r="C139" s="116"/>
      <c r="D139" s="55"/>
    </row>
    <row r="140" spans="2:4" hidden="1" x14ac:dyDescent="0.25">
      <c r="B140" s="61"/>
      <c r="C140" s="116"/>
      <c r="D140" s="55"/>
    </row>
    <row r="141" spans="2:4" hidden="1" x14ac:dyDescent="0.25">
      <c r="B141" s="61"/>
      <c r="C141" s="116"/>
      <c r="D141" s="55"/>
    </row>
    <row r="142" spans="2:4" hidden="1" x14ac:dyDescent="0.25">
      <c r="B142" s="61"/>
      <c r="C142" s="116"/>
      <c r="D142" s="55"/>
    </row>
    <row r="143" spans="2:4" hidden="1" x14ac:dyDescent="0.25">
      <c r="B143" s="61"/>
      <c r="C143" s="116"/>
      <c r="D143" s="55"/>
    </row>
    <row r="144" spans="2:4"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c r="E213" s="102"/>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sheetData>
  <phoneticPr fontId="48" type="noConversion"/>
  <conditionalFormatting sqref="F2">
    <cfRule type="cellIs" dxfId="82" priority="8" stopIfTrue="1" operator="notEqual">
      <formula>0</formula>
    </cfRule>
    <cfRule type="cellIs" dxfId="81" priority="9" stopIfTrue="1" operator="equal">
      <formula>""</formula>
    </cfRule>
  </conditionalFormatting>
  <conditionalFormatting sqref="J4:CA4">
    <cfRule type="cellIs" dxfId="80" priority="10" operator="equal">
      <formula>"Post-Fcst"</formula>
    </cfRule>
    <cfRule type="cellIs" dxfId="79" priority="11" operator="equal">
      <formula>"Forecast"</formula>
    </cfRule>
    <cfRule type="cellIs" dxfId="78"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7" activePane="bottomRight" state="frozen"/>
      <selection pane="topRight"/>
      <selection pane="bottomLeft"/>
      <selection pane="bottomRight"/>
    </sheetView>
  </sheetViews>
  <sheetFormatPr defaultColWidth="0" defaultRowHeight="13.45" x14ac:dyDescent="0.25"/>
  <cols>
    <col min="1" max="1" width="1.453125" style="50" customWidth="1"/>
    <col min="2" max="2" width="1.453125" style="61" customWidth="1"/>
    <col min="3" max="3" width="1.453125" style="110" customWidth="1"/>
    <col min="4" max="4" width="1.453125" style="55" customWidth="1"/>
    <col min="5" max="5" width="40.54296875" style="91" customWidth="1"/>
    <col min="6" max="6" width="12.54296875" style="7" customWidth="1"/>
    <col min="7" max="8" width="11.54296875" style="7" customWidth="1"/>
    <col min="9" max="9" width="2.54296875" style="7" customWidth="1"/>
    <col min="10" max="18" width="11.54296875" style="7" customWidth="1"/>
    <col min="19" max="78" width="11.54296875" style="7" hidden="1" customWidth="1"/>
    <col min="79" max="106" width="0" style="7" hidden="1" customWidth="1"/>
    <col min="107" max="16384" width="9.1796875" style="7" hidden="1"/>
  </cols>
  <sheetData>
    <row r="1" spans="1:78" s="122" customFormat="1" ht="25.25" x14ac:dyDescent="0.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284</v>
      </c>
      <c r="D8" s="57"/>
      <c r="E8" s="92"/>
    </row>
    <row r="9" spans="1:78" x14ac:dyDescent="0.25">
      <c r="A9" s="49"/>
      <c r="D9" s="57"/>
      <c r="E9" s="92"/>
    </row>
    <row r="10" spans="1:78" s="65" customFormat="1" x14ac:dyDescent="0.25">
      <c r="A10" s="48"/>
      <c r="B10" s="59" t="s">
        <v>285</v>
      </c>
      <c r="C10" s="108"/>
      <c r="D10" s="53"/>
      <c r="E10" s="93"/>
      <c r="G10" s="37"/>
    </row>
    <row r="11" spans="1:78" s="42" customFormat="1" x14ac:dyDescent="0.25">
      <c r="A11" s="66"/>
      <c r="B11" s="67"/>
      <c r="C11" s="125"/>
      <c r="D11" s="68"/>
      <c r="E11" s="91" t="s">
        <v>286</v>
      </c>
      <c r="G11" s="42" t="s">
        <v>287</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288</v>
      </c>
      <c r="F12" s="7">
        <f xml:space="preserve"> MAX(J11:BZ11)</f>
        <v>9</v>
      </c>
      <c r="G12" s="7" t="s">
        <v>289</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290</v>
      </c>
      <c r="G15" s="7" t="s">
        <v>291</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292</v>
      </c>
      <c r="F18" s="25">
        <f xml:space="preserve"> DATE(YEAR(F17), MONTH(F17), 1)</f>
        <v>42826</v>
      </c>
      <c r="G18" s="25" t="s">
        <v>293</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294</v>
      </c>
      <c r="G22" s="17" t="s">
        <v>138</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295</v>
      </c>
      <c r="F23" s="34"/>
      <c r="G23" s="39" t="s">
        <v>138</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296</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297</v>
      </c>
      <c r="G27" s="38" t="s">
        <v>298</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299</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300</v>
      </c>
      <c r="G34" s="7" t="s">
        <v>291</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301</v>
      </c>
      <c r="G35" s="7" t="s">
        <v>291</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302</v>
      </c>
      <c r="F36" s="21">
        <f xml:space="preserve"> SUM(J35:BZ35)</f>
        <v>3</v>
      </c>
      <c r="G36" s="7" t="s">
        <v>303</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304</v>
      </c>
      <c r="G40" s="2" t="s">
        <v>291</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305</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306</v>
      </c>
      <c r="G46" s="7" t="s">
        <v>291</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307</v>
      </c>
      <c r="G50" s="7" t="s">
        <v>291</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308</v>
      </c>
      <c r="G54" s="34" t="s">
        <v>291</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309</v>
      </c>
      <c r="F55" s="7">
        <f xml:space="preserve"> SUM(J54:BZ54)</f>
        <v>5</v>
      </c>
      <c r="G55" s="7" t="s">
        <v>303</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310</v>
      </c>
      <c r="G59" s="7" t="s">
        <v>291</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311</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312</v>
      </c>
      <c r="G65" s="7" t="s">
        <v>291</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313</v>
      </c>
      <c r="G68" s="7" t="s">
        <v>291</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314</v>
      </c>
      <c r="F69" s="7">
        <f xml:space="preserve"> SUM(J68:BZ68)</f>
        <v>1</v>
      </c>
      <c r="G69" s="7" t="s">
        <v>303</v>
      </c>
    </row>
    <row r="72" spans="1:18" x14ac:dyDescent="0.25">
      <c r="A72" s="49" t="s">
        <v>315</v>
      </c>
      <c r="D72" s="57"/>
      <c r="E72" s="92"/>
    </row>
    <row r="74" spans="1:18" x14ac:dyDescent="0.25">
      <c r="E74" s="91" t="str">
        <f xml:space="preserve"> E$12</f>
        <v>Model Column Total</v>
      </c>
      <c r="F74" s="7">
        <f xml:space="preserve"> F$12</f>
        <v>9</v>
      </c>
      <c r="G74" s="7" t="str">
        <f xml:space="preserve"> G$12</f>
        <v>column</v>
      </c>
    </row>
    <row r="75" spans="1:18" x14ac:dyDescent="0.25">
      <c r="D75" s="55" t="s">
        <v>296</v>
      </c>
      <c r="E75" s="91" t="str">
        <f xml:space="preserve"> E$36</f>
        <v>Pre Forecast Period Total</v>
      </c>
      <c r="F75" s="7">
        <f xml:space="preserve"> F$36</f>
        <v>3</v>
      </c>
      <c r="G75" s="7" t="str">
        <f xml:space="preserve"> G$36</f>
        <v>columns</v>
      </c>
    </row>
    <row r="76" spans="1:18" x14ac:dyDescent="0.25">
      <c r="D76" s="55" t="s">
        <v>296</v>
      </c>
      <c r="E76" s="91" t="str">
        <f xml:space="preserve"> E$55</f>
        <v xml:space="preserve">Forecast Period Total </v>
      </c>
      <c r="F76" s="7">
        <f xml:space="preserve"> F$55</f>
        <v>5</v>
      </c>
      <c r="G76" s="7" t="str">
        <f xml:space="preserve"> G$55</f>
        <v>columns</v>
      </c>
    </row>
    <row r="77" spans="1:18" x14ac:dyDescent="0.25">
      <c r="D77" s="55" t="s">
        <v>296</v>
      </c>
      <c r="E77" s="91" t="str">
        <f xml:space="preserve"> E$69</f>
        <v>Post Forecast Period Total</v>
      </c>
      <c r="F77" s="7">
        <f xml:space="preserve"> F$69</f>
        <v>1</v>
      </c>
      <c r="G77" s="7" t="str">
        <f xml:space="preserve"> G$69</f>
        <v>columns</v>
      </c>
    </row>
    <row r="78" spans="1:18" x14ac:dyDescent="0.25">
      <c r="A78" s="49"/>
      <c r="D78" s="57"/>
      <c r="E78" s="92" t="s">
        <v>316</v>
      </c>
      <c r="F78" s="33">
        <f xml:space="preserve"> IF(F74 - SUM(F75:F77) &lt;&gt; 0, 1, 0)</f>
        <v>0</v>
      </c>
      <c r="G78" s="7" t="s">
        <v>317</v>
      </c>
    </row>
    <row r="80" spans="1:18" x14ac:dyDescent="0.25">
      <c r="A80" s="133" t="s">
        <v>318</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4">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319</v>
      </c>
      <c r="G86" s="7" t="s">
        <v>320</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ht="12.9" x14ac:dyDescent="0.25">
      <c r="A89" s="10" t="s">
        <v>114</v>
      </c>
    </row>
  </sheetData>
  <conditionalFormatting sqref="F78">
    <cfRule type="cellIs" dxfId="77" priority="13" stopIfTrue="1" operator="notEqual">
      <formula>0</formula>
    </cfRule>
    <cfRule type="cellIs" dxfId="76" priority="14" stopIfTrue="1" operator="equal">
      <formula>""</formula>
    </cfRule>
  </conditionalFormatting>
  <conditionalFormatting sqref="F2">
    <cfRule type="cellIs" dxfId="75" priority="2" stopIfTrue="1" operator="notEqual">
      <formula>0</formula>
    </cfRule>
    <cfRule type="cellIs" dxfId="74" priority="3" stopIfTrue="1" operator="equal">
      <formula>""</formula>
    </cfRule>
  </conditionalFormatting>
  <conditionalFormatting sqref="J3:BZ3">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J7" activePane="bottomRight" state="frozen"/>
      <selection pane="topRight"/>
      <selection pane="bottomLeft"/>
      <selection pane="bottomRight"/>
    </sheetView>
  </sheetViews>
  <sheetFormatPr defaultColWidth="0" defaultRowHeight="13.45" x14ac:dyDescent="0.25"/>
  <cols>
    <col min="1" max="1" width="1.453125" style="50" customWidth="1"/>
    <col min="2" max="2" width="1.453125" style="61" customWidth="1"/>
    <col min="3" max="3" width="1.453125" style="110" customWidth="1"/>
    <col min="4" max="4" width="1.453125" style="55" customWidth="1"/>
    <col min="5" max="5" width="40.54296875" style="91" customWidth="1"/>
    <col min="6" max="6" width="12.54296875" style="7" customWidth="1"/>
    <col min="7" max="7" width="11.54296875" style="7" customWidth="1"/>
    <col min="8" max="8" width="51.81640625" style="7" bestFit="1" customWidth="1"/>
    <col min="9" max="9" width="2.54296875" style="7" customWidth="1"/>
    <col min="10" max="18" width="11.54296875" style="7" customWidth="1"/>
    <col min="19" max="78" width="11.54296875" style="7" hidden="1" customWidth="1"/>
    <col min="79" max="106" width="0" style="7" hidden="1" customWidth="1"/>
    <col min="107" max="16384" width="9.1796875" style="7" hidden="1"/>
  </cols>
  <sheetData>
    <row r="1" spans="1:78" s="122" customFormat="1" ht="25.25" x14ac:dyDescent="0.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row>
    <row r="5" spans="1:78" s="11" customFormat="1" x14ac:dyDescent="0.25">
      <c r="A5" s="24"/>
      <c r="B5" s="60"/>
      <c r="C5" s="109"/>
      <c r="D5" s="54"/>
      <c r="E5" s="21"/>
      <c r="F5" s="21"/>
      <c r="G5" s="226"/>
      <c r="H5" s="21"/>
      <c r="I5" s="21"/>
      <c r="J5"/>
      <c r="K5"/>
      <c r="L5"/>
      <c r="M5"/>
      <c r="N5"/>
      <c r="O5"/>
      <c r="P5"/>
      <c r="Q5"/>
      <c r="R5"/>
    </row>
    <row r="6" spans="1:78"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ht="12.9" x14ac:dyDescent="0.25">
      <c r="A9" s="285" t="s">
        <v>150</v>
      </c>
      <c r="B9" s="286"/>
      <c r="C9" s="287"/>
      <c r="D9" s="287"/>
      <c r="E9" s="287"/>
      <c r="F9" s="287"/>
      <c r="G9" s="287"/>
      <c r="H9" s="287"/>
      <c r="I9" s="287"/>
      <c r="J9" s="287"/>
      <c r="K9" s="287"/>
      <c r="L9" s="287"/>
      <c r="M9" s="287"/>
      <c r="N9" s="287"/>
      <c r="O9" s="287"/>
      <c r="P9" s="287"/>
      <c r="Q9" s="287"/>
      <c r="R9" s="287"/>
    </row>
    <row r="10" spans="1:78" x14ac:dyDescent="0.25">
      <c r="B10" s="61" t="s">
        <v>151</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t="str">
        <f xml:space="preserve"> InpR!I$27</f>
        <v>PR19 Financial model, 'Index' sheet row 131</v>
      </c>
      <c r="I11" s="231" t="e">
        <f xml:space="preserve"> InpR!#REF!</f>
        <v>#REF!</v>
      </c>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5">
      <c r="A12" s="50"/>
      <c r="B12" s="61"/>
      <c r="C12" s="116"/>
      <c r="D12" s="53"/>
      <c r="E12" s="231" t="str">
        <f xml:space="preserve"> InpR!E$28</f>
        <v>RPI: May - index - final determination</v>
      </c>
      <c r="F12" s="231"/>
      <c r="G12" s="231" t="str">
        <f xml:space="preserve"> InpR!G$28</f>
        <v>index</v>
      </c>
      <c r="H12" s="231" t="str">
        <f xml:space="preserve"> InpR!I$28</f>
        <v>PR19 Financial model, 'Index' sheet row 132</v>
      </c>
      <c r="I12" s="231" t="e">
        <f xml:space="preserve"> InpR!#REF!</f>
        <v>#REF!</v>
      </c>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5">
      <c r="A13" s="50"/>
      <c r="B13" s="61"/>
      <c r="C13" s="116"/>
      <c r="D13" s="53"/>
      <c r="E13" s="231" t="str">
        <f xml:space="preserve"> InpR!E$29</f>
        <v>RPI: June - index - final determination</v>
      </c>
      <c r="F13" s="231"/>
      <c r="G13" s="231" t="str">
        <f xml:space="preserve"> InpR!G$29</f>
        <v>index</v>
      </c>
      <c r="H13" s="231" t="str">
        <f xml:space="preserve"> InpR!I$29</f>
        <v>PR19 Financial model, 'Index' sheet row 133</v>
      </c>
      <c r="I13" s="231" t="e">
        <f xml:space="preserve"> InpR!#REF!</f>
        <v>#REF!</v>
      </c>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5">
      <c r="A14" s="50"/>
      <c r="B14" s="61"/>
      <c r="C14" s="116"/>
      <c r="D14" s="53"/>
      <c r="E14" s="231" t="str">
        <f xml:space="preserve"> InpR!E$30</f>
        <v>RPI: July - index - final determination</v>
      </c>
      <c r="F14" s="231"/>
      <c r="G14" s="231" t="str">
        <f xml:space="preserve"> InpR!G$30</f>
        <v>index</v>
      </c>
      <c r="H14" s="231" t="str">
        <f xml:space="preserve"> InpR!I$30</f>
        <v>PR19 Financial model, 'Index' sheet row 134</v>
      </c>
      <c r="I14" s="231" t="e">
        <f xml:space="preserve"> InpR!#REF!</f>
        <v>#REF!</v>
      </c>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5">
      <c r="A15" s="50"/>
      <c r="B15" s="61"/>
      <c r="C15" s="116"/>
      <c r="D15" s="53"/>
      <c r="E15" s="231" t="str">
        <f xml:space="preserve"> InpR!E$31</f>
        <v>RPI: August - index - final determination</v>
      </c>
      <c r="F15" s="231"/>
      <c r="G15" s="231" t="str">
        <f xml:space="preserve"> InpR!G$31</f>
        <v>index</v>
      </c>
      <c r="H15" s="231" t="str">
        <f xml:space="preserve"> InpR!I$31</f>
        <v>PR19 Financial model, 'Index' sheet row 135</v>
      </c>
      <c r="I15" s="231" t="e">
        <f xml:space="preserve"> InpR!#REF!</f>
        <v>#REF!</v>
      </c>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5">
      <c r="A16" s="50"/>
      <c r="B16" s="61"/>
      <c r="C16" s="116"/>
      <c r="D16" s="53"/>
      <c r="E16" s="231" t="str">
        <f xml:space="preserve"> InpR!E$32</f>
        <v>RPI: September - index - final determination</v>
      </c>
      <c r="F16" s="231"/>
      <c r="G16" s="231" t="str">
        <f xml:space="preserve"> InpR!G$32</f>
        <v>index</v>
      </c>
      <c r="H16" s="231" t="str">
        <f xml:space="preserve"> InpR!I$32</f>
        <v>PR19 Financial model, 'Index' sheet row 136</v>
      </c>
      <c r="I16" s="231" t="e">
        <f xml:space="preserve"> InpR!#REF!</f>
        <v>#REF!</v>
      </c>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5">
      <c r="A17" s="50"/>
      <c r="B17" s="61"/>
      <c r="C17" s="116"/>
      <c r="D17" s="53"/>
      <c r="E17" s="231" t="str">
        <f xml:space="preserve"> InpR!E$33</f>
        <v>RPI: October - index - final determination</v>
      </c>
      <c r="F17" s="231"/>
      <c r="G17" s="231" t="str">
        <f xml:space="preserve"> InpR!G$33</f>
        <v>index</v>
      </c>
      <c r="H17" s="231" t="str">
        <f xml:space="preserve"> InpR!I$33</f>
        <v>PR19 Financial model, 'Index' sheet row 137</v>
      </c>
      <c r="I17" s="231" t="e">
        <f xml:space="preserve"> InpR!#REF!</f>
        <v>#REF!</v>
      </c>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5">
      <c r="A18" s="50"/>
      <c r="B18" s="61"/>
      <c r="C18" s="116"/>
      <c r="D18" s="53"/>
      <c r="E18" s="231" t="str">
        <f xml:space="preserve"> InpR!E$34</f>
        <v>RPI: November - index - final determination</v>
      </c>
      <c r="F18" s="231"/>
      <c r="G18" s="231" t="str">
        <f xml:space="preserve"> InpR!G$34</f>
        <v>index</v>
      </c>
      <c r="H18" s="231" t="str">
        <f xml:space="preserve"> InpR!I$34</f>
        <v>PR19 Financial model, 'Index' sheet row 138</v>
      </c>
      <c r="I18" s="231" t="e">
        <f xml:space="preserve"> InpR!#REF!</f>
        <v>#REF!</v>
      </c>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5">
      <c r="A19" s="50"/>
      <c r="B19" s="61"/>
      <c r="C19" s="116"/>
      <c r="D19" s="53"/>
      <c r="E19" s="231" t="str">
        <f xml:space="preserve"> InpR!E$35</f>
        <v>RPI: December - index - final determination</v>
      </c>
      <c r="F19" s="231"/>
      <c r="G19" s="231" t="str">
        <f xml:space="preserve"> InpR!G$35</f>
        <v>index</v>
      </c>
      <c r="H19" s="231" t="str">
        <f xml:space="preserve"> InpR!I$35</f>
        <v>PR19 Financial model, 'Index' sheet row 139</v>
      </c>
      <c r="I19" s="231" t="e">
        <f xml:space="preserve"> InpR!#REF!</f>
        <v>#REF!</v>
      </c>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5">
      <c r="A20" s="50"/>
      <c r="B20" s="61"/>
      <c r="C20" s="116"/>
      <c r="D20" s="53"/>
      <c r="E20" s="231" t="str">
        <f xml:space="preserve"> InpR!E$36</f>
        <v>RPI: January - index - final determination</v>
      </c>
      <c r="F20" s="231"/>
      <c r="G20" s="231" t="str">
        <f xml:space="preserve"> InpR!G$36</f>
        <v>index</v>
      </c>
      <c r="H20" s="231" t="str">
        <f xml:space="preserve"> InpR!I$36</f>
        <v>PR19 Financial model, 'Index' sheet row 140</v>
      </c>
      <c r="I20" s="231" t="e">
        <f xml:space="preserve"> InpR!#REF!</f>
        <v>#REF!</v>
      </c>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5">
      <c r="A21" s="50"/>
      <c r="B21" s="61"/>
      <c r="C21" s="116"/>
      <c r="D21" s="53"/>
      <c r="E21" s="231" t="str">
        <f xml:space="preserve"> InpR!E$37</f>
        <v>RPI: February - index - final determination</v>
      </c>
      <c r="F21" s="231"/>
      <c r="G21" s="231" t="str">
        <f xml:space="preserve"> InpR!G$37</f>
        <v>index</v>
      </c>
      <c r="H21" s="231" t="str">
        <f xml:space="preserve"> InpR!I$37</f>
        <v>PR19 Financial model, 'Index' sheet row 141</v>
      </c>
      <c r="I21" s="231" t="e">
        <f xml:space="preserve"> InpR!#REF!</f>
        <v>#REF!</v>
      </c>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5">
      <c r="A22" s="50"/>
      <c r="B22" s="61"/>
      <c r="C22" s="116"/>
      <c r="D22" s="53"/>
      <c r="E22" s="231" t="str">
        <f xml:space="preserve"> InpR!E$38</f>
        <v>RPI: March - index - final determination</v>
      </c>
      <c r="F22" s="231"/>
      <c r="G22" s="231" t="str">
        <f xml:space="preserve"> InpR!G$38</f>
        <v>index</v>
      </c>
      <c r="H22" s="231" t="str">
        <f xml:space="preserve"> InpR!I$38</f>
        <v>PR19 Financial model, 'Index' sheet row 142</v>
      </c>
      <c r="I22" s="231" t="e">
        <f xml:space="preserve"> InpR!#REF!</f>
        <v>#REF!</v>
      </c>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321</v>
      </c>
      <c r="F24" s="91"/>
      <c r="G24" s="91" t="s">
        <v>153</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5">
      <c r="A25" s="50"/>
      <c r="B25" s="61"/>
      <c r="C25" s="116"/>
      <c r="D25" s="55"/>
      <c r="E25" s="91" t="s">
        <v>322</v>
      </c>
      <c r="F25" s="7"/>
      <c r="G25" s="91" t="s">
        <v>247</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t="str">
        <f t="shared" si="2"/>
        <v>PR19 Financial model, 'Index' sheet row 142</v>
      </c>
      <c r="I27" s="91" t="e">
        <f t="shared" si="2"/>
        <v>#REF!</v>
      </c>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5">
      <c r="A28" s="5"/>
      <c r="B28" s="9"/>
      <c r="C28" s="117"/>
      <c r="D28" s="6"/>
      <c r="E28" s="168" t="str">
        <f>E$24</f>
        <v>RPI: Financial year average - index - final determination</v>
      </c>
      <c r="F28" s="7"/>
      <c r="G28" s="91" t="str">
        <f t="shared" ref="G28:R28" si="3">G$24</f>
        <v>index</v>
      </c>
      <c r="H28" s="91">
        <f t="shared" si="3"/>
        <v>0</v>
      </c>
      <c r="I28" s="91">
        <f t="shared" si="3"/>
        <v>0</v>
      </c>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ht="12.9"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323</v>
      </c>
      <c r="F30" s="7"/>
      <c r="G30" s="91" t="s">
        <v>247</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177</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t="str">
        <f>InpR!I$41</f>
        <v>PR19 Financial model, 'Index' sheet F59 and 'Index' sheet row 10</v>
      </c>
      <c r="I33" s="231" t="e">
        <f>InpR!#REF!</f>
        <v>#REF!</v>
      </c>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5">
      <c r="A34" s="50"/>
      <c r="B34" s="61"/>
      <c r="C34" s="116"/>
      <c r="D34" s="53"/>
      <c r="E34" s="231" t="str">
        <f>InpR!E$42</f>
        <v>CPI(H): May - index - final determination</v>
      </c>
      <c r="F34" s="231"/>
      <c r="G34" s="231" t="str">
        <f>InpR!G$42</f>
        <v>index</v>
      </c>
      <c r="H34" s="231" t="str">
        <f>InpR!I$42</f>
        <v>PR19 Financial model, 'Index' sheet F60 and 'Index' sheet row 11</v>
      </c>
      <c r="I34" s="231" t="e">
        <f>InpR!#REF!</f>
        <v>#REF!</v>
      </c>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5">
      <c r="A35" s="50"/>
      <c r="B35" s="61"/>
      <c r="C35" s="116"/>
      <c r="D35" s="53"/>
      <c r="E35" s="231" t="str">
        <f>InpR!E$43</f>
        <v>CPI(H): June - index - final determination</v>
      </c>
      <c r="F35" s="231"/>
      <c r="G35" s="231" t="str">
        <f>InpR!G$43</f>
        <v>index</v>
      </c>
      <c r="H35" s="231" t="str">
        <f>InpR!I$43</f>
        <v>PR19 Financial model, 'Index' sheet F61 and 'Index' sheet row 12</v>
      </c>
      <c r="I35" s="231" t="e">
        <f>InpR!#REF!</f>
        <v>#REF!</v>
      </c>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5">
      <c r="A36" s="50"/>
      <c r="B36" s="61"/>
      <c r="C36" s="116"/>
      <c r="D36" s="53"/>
      <c r="E36" s="231" t="str">
        <f>InpR!E$44</f>
        <v>CPI(H): July - index - final determination</v>
      </c>
      <c r="F36" s="231"/>
      <c r="G36" s="231" t="str">
        <f>InpR!G$44</f>
        <v>index</v>
      </c>
      <c r="H36" s="231" t="str">
        <f>InpR!I$44</f>
        <v>PR19 Financial model, 'Index' sheet F62 and 'Index' sheet row 13</v>
      </c>
      <c r="I36" s="231" t="e">
        <f>InpR!#REF!</f>
        <v>#REF!</v>
      </c>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5">
      <c r="A37" s="50"/>
      <c r="B37" s="61"/>
      <c r="C37" s="116"/>
      <c r="D37" s="53"/>
      <c r="E37" s="231" t="str">
        <f>InpR!E$45</f>
        <v>CPI(H): August - index - final determination</v>
      </c>
      <c r="F37" s="231"/>
      <c r="G37" s="231" t="str">
        <f>InpR!G$45</f>
        <v>index</v>
      </c>
      <c r="H37" s="231" t="str">
        <f>InpR!I$45</f>
        <v>PR19 Financial model, 'Index' sheet F63 and 'Index' sheet row 14</v>
      </c>
      <c r="I37" s="231" t="e">
        <f>InpR!#REF!</f>
        <v>#REF!</v>
      </c>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5">
      <c r="A38" s="50"/>
      <c r="B38" s="61"/>
      <c r="C38" s="116"/>
      <c r="D38" s="53"/>
      <c r="E38" s="231" t="str">
        <f>InpR!E$46</f>
        <v>CPI(H): September - index - final determination</v>
      </c>
      <c r="F38" s="231"/>
      <c r="G38" s="231" t="str">
        <f>InpR!G$46</f>
        <v>index</v>
      </c>
      <c r="H38" s="231" t="str">
        <f>InpR!I$46</f>
        <v>PR19 Financial model, 'Index' sheet F64 and 'Index' sheet row 15</v>
      </c>
      <c r="I38" s="231" t="e">
        <f>InpR!#REF!</f>
        <v>#REF!</v>
      </c>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5">
      <c r="A39" s="50"/>
      <c r="B39" s="61"/>
      <c r="C39" s="116"/>
      <c r="D39" s="53"/>
      <c r="E39" s="231" t="str">
        <f>InpR!E$47</f>
        <v>CPI(H): October - index - final determination</v>
      </c>
      <c r="F39" s="231"/>
      <c r="G39" s="231" t="str">
        <f>InpR!G$47</f>
        <v>index</v>
      </c>
      <c r="H39" s="231" t="str">
        <f>InpR!I$47</f>
        <v>PR19 Financial model, 'Index' sheet F65 and 'Index' sheet row 16</v>
      </c>
      <c r="I39" s="231" t="e">
        <f>InpR!#REF!</f>
        <v>#REF!</v>
      </c>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5">
      <c r="A40" s="50"/>
      <c r="B40" s="61"/>
      <c r="C40" s="116"/>
      <c r="D40" s="53"/>
      <c r="E40" s="231" t="str">
        <f>InpR!E$48</f>
        <v>CPI(H): November - index - final determination</v>
      </c>
      <c r="F40" s="231"/>
      <c r="G40" s="231" t="str">
        <f>InpR!G$48</f>
        <v>index</v>
      </c>
      <c r="H40" s="231" t="str">
        <f>InpR!I$48</f>
        <v>PR19 Financial model, 'Index' sheet F66 and 'Index' sheet row 17</v>
      </c>
      <c r="I40" s="231" t="e">
        <f>InpR!#REF!</f>
        <v>#REF!</v>
      </c>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5">
      <c r="A41" s="50"/>
      <c r="B41" s="61"/>
      <c r="C41" s="116"/>
      <c r="D41" s="53"/>
      <c r="E41" s="231" t="str">
        <f>InpR!E$49</f>
        <v>CPI(H): December - index - final determination</v>
      </c>
      <c r="F41" s="231"/>
      <c r="G41" s="231" t="str">
        <f>InpR!G$49</f>
        <v>index</v>
      </c>
      <c r="H41" s="231" t="str">
        <f>InpR!I$49</f>
        <v>PR19 Financial model, 'Index' sheet F67 and 'Index' sheet row 18</v>
      </c>
      <c r="I41" s="231" t="e">
        <f>InpR!#REF!</f>
        <v>#REF!</v>
      </c>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5">
      <c r="A42" s="50"/>
      <c r="B42" s="61"/>
      <c r="C42" s="116"/>
      <c r="D42" s="53"/>
      <c r="E42" s="231" t="str">
        <f>InpR!E$50</f>
        <v>CPI(H): January - index - final determination</v>
      </c>
      <c r="F42" s="231"/>
      <c r="G42" s="231" t="str">
        <f>InpR!G$50</f>
        <v>index</v>
      </c>
      <c r="H42" s="231" t="str">
        <f>InpR!I$50</f>
        <v>PR19 Financial model, 'Index' sheet F68 and 'Index' sheet row 19</v>
      </c>
      <c r="I42" s="231" t="e">
        <f>InpR!#REF!</f>
        <v>#REF!</v>
      </c>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5">
      <c r="A43" s="50"/>
      <c r="B43" s="61"/>
      <c r="C43" s="116"/>
      <c r="D43" s="53"/>
      <c r="E43" s="231" t="str">
        <f>InpR!E$51</f>
        <v>CPI(H): February - index - final determination</v>
      </c>
      <c r="F43" s="231"/>
      <c r="G43" s="231" t="str">
        <f>InpR!G$51</f>
        <v>index</v>
      </c>
      <c r="H43" s="231" t="str">
        <f>InpR!I$51</f>
        <v>PR19 Financial model, 'Index' sheet F69 and 'Index' sheet row 20</v>
      </c>
      <c r="I43" s="231" t="e">
        <f>InpR!#REF!</f>
        <v>#REF!</v>
      </c>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5">
      <c r="A44" s="50"/>
      <c r="B44" s="61"/>
      <c r="C44" s="116"/>
      <c r="D44" s="53"/>
      <c r="E44" s="231" t="str">
        <f>InpR!E$52</f>
        <v>CPI(H): March - index - final determination</v>
      </c>
      <c r="F44" s="231"/>
      <c r="G44" s="231" t="str">
        <f>InpR!G$52</f>
        <v>index</v>
      </c>
      <c r="H44" s="231" t="str">
        <f>InpR!I$52</f>
        <v>PR19 Financial model, 'Index' sheet F70 and 'Index' sheet row 21</v>
      </c>
      <c r="I44" s="231" t="e">
        <f>InpR!#REF!</f>
        <v>#REF!</v>
      </c>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324</v>
      </c>
      <c r="F46" s="91"/>
      <c r="G46" s="91" t="s">
        <v>153</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5">
      <c r="A47" s="50"/>
      <c r="B47" s="61"/>
      <c r="C47" s="116"/>
      <c r="D47" s="55"/>
      <c r="E47" s="237" t="s">
        <v>325</v>
      </c>
      <c r="F47" s="237"/>
      <c r="G47" s="237" t="s">
        <v>247</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5">
      <c r="A48" s="50"/>
      <c r="B48" s="61"/>
      <c r="C48" s="116"/>
      <c r="D48" s="55"/>
      <c r="E48" s="91" t="s">
        <v>326</v>
      </c>
      <c r="F48" s="7"/>
      <c r="G48" s="91" t="s">
        <v>247</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t="str">
        <f t="shared" si="8"/>
        <v>PR19 Financial model, 'Index' sheet F70 and 'Index' sheet row 21</v>
      </c>
      <c r="I50" s="91" t="e">
        <f t="shared" si="8"/>
        <v>#REF!</v>
      </c>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5">
      <c r="A51" s="50"/>
      <c r="B51" s="61"/>
      <c r="C51" s="116"/>
      <c r="D51" s="55"/>
      <c r="E51" s="91" t="str">
        <f>E$46</f>
        <v>CPI(H): Financial year average - index - final determination</v>
      </c>
      <c r="F51" s="91"/>
      <c r="G51" s="91" t="str">
        <f t="shared" ref="G51:R51" si="9">G$46</f>
        <v>index</v>
      </c>
      <c r="H51" s="91">
        <f t="shared" si="9"/>
        <v>0</v>
      </c>
      <c r="I51" s="91">
        <f t="shared" si="9"/>
        <v>0</v>
      </c>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ht="12.9"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327</v>
      </c>
      <c r="F53" s="7"/>
      <c r="G53" s="91" t="s">
        <v>247</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328</v>
      </c>
      <c r="F57" s="7"/>
      <c r="G57" s="91" t="s">
        <v>247</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329</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f t="shared" si="14"/>
        <v>0</v>
      </c>
      <c r="I60" s="168">
        <f t="shared" si="14"/>
        <v>0</v>
      </c>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f t="shared" si="15"/>
        <v>0</v>
      </c>
      <c r="I61" s="168">
        <f t="shared" si="15"/>
        <v>0</v>
      </c>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ht="12.9"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330</v>
      </c>
      <c r="F63" s="168"/>
      <c r="G63" s="168" t="s">
        <v>247</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f t="shared" si="18"/>
        <v>0</v>
      </c>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5">
      <c r="A67" s="50"/>
      <c r="B67" s="61"/>
      <c r="C67" s="116"/>
      <c r="D67" s="55"/>
      <c r="E67" s="168" t="s">
        <v>331</v>
      </c>
      <c r="F67" s="168"/>
      <c r="G67" s="168" t="s">
        <v>247</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f t="shared" si="22"/>
        <v>0</v>
      </c>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5">
      <c r="A71" s="50"/>
      <c r="B71" s="61"/>
      <c r="C71" s="116"/>
      <c r="D71" s="55"/>
      <c r="E71" s="237" t="s">
        <v>332</v>
      </c>
      <c r="F71" s="237"/>
      <c r="G71" s="237" t="s">
        <v>247</v>
      </c>
      <c r="H71" s="237"/>
      <c r="I71" s="237">
        <f>I$167</f>
        <v>0</v>
      </c>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ht="12.9" x14ac:dyDescent="0.25">
      <c r="A73" s="285" t="s">
        <v>202</v>
      </c>
      <c r="B73" s="286"/>
      <c r="C73" s="287"/>
      <c r="D73" s="287"/>
      <c r="E73" s="287"/>
      <c r="F73" s="287"/>
      <c r="G73" s="287"/>
      <c r="H73" s="287"/>
      <c r="I73" s="287"/>
      <c r="J73" s="287"/>
      <c r="K73" s="287"/>
      <c r="L73" s="287"/>
      <c r="M73" s="287"/>
      <c r="N73" s="287"/>
      <c r="O73" s="287"/>
      <c r="P73" s="287"/>
      <c r="Q73" s="287"/>
      <c r="R73" s="287"/>
    </row>
    <row r="74" spans="1:18" s="65" customFormat="1" x14ac:dyDescent="0.25">
      <c r="A74" s="50"/>
      <c r="B74" s="61" t="s">
        <v>203</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t="str">
        <f>InpR!I$56</f>
        <v>ONS, RPI All Items Index: Jan 1987=100</v>
      </c>
      <c r="I75" s="231" t="e">
        <f>InpR!#REF!</f>
        <v>#REF!</v>
      </c>
      <c r="J75" s="231">
        <f>InpR!J$56</f>
        <v>0</v>
      </c>
      <c r="K75" s="231">
        <f>InpR!K$56</f>
        <v>279.7</v>
      </c>
      <c r="L75" s="231">
        <f>InpR!L$56</f>
        <v>288.2</v>
      </c>
      <c r="M75" s="231">
        <f>InpR!M$56</f>
        <v>292.60000000000002</v>
      </c>
      <c r="N75" s="231">
        <f>InpR!N$56</f>
        <v>301.10000000000002</v>
      </c>
      <c r="O75" s="231">
        <f>InpR!O$56</f>
        <v>334.6</v>
      </c>
      <c r="P75" s="231">
        <f>InpR!P$56</f>
        <v>371.2</v>
      </c>
      <c r="Q75" s="231">
        <f>InpR!Q$56</f>
        <v>386.1</v>
      </c>
      <c r="R75" s="231">
        <f>InpR!R$56</f>
        <v>0</v>
      </c>
    </row>
    <row r="76" spans="1:18" s="65" customFormat="1" x14ac:dyDescent="0.25">
      <c r="A76" s="50"/>
      <c r="B76" s="61"/>
      <c r="C76" s="116"/>
      <c r="D76" s="53"/>
      <c r="E76" s="231" t="str">
        <f>InpR!E$57</f>
        <v>RPI: May - index - actual (including forecast)</v>
      </c>
      <c r="F76" s="231"/>
      <c r="G76" s="231" t="str">
        <f>InpR!G$57</f>
        <v>index</v>
      </c>
      <c r="H76" s="231" t="str">
        <f>InpR!I$57</f>
        <v>ONS, RPI All Items Index: Jan 1987=100</v>
      </c>
      <c r="I76" s="231" t="e">
        <f>InpR!#REF!</f>
        <v>#REF!</v>
      </c>
      <c r="J76" s="231">
        <f>InpR!J$57</f>
        <v>0</v>
      </c>
      <c r="K76" s="231">
        <f>InpR!K$57</f>
        <v>280.7</v>
      </c>
      <c r="L76" s="231">
        <f>InpR!L$57</f>
        <v>289.2</v>
      </c>
      <c r="M76" s="231">
        <f>InpR!M$57</f>
        <v>292.2</v>
      </c>
      <c r="N76" s="231">
        <f>InpR!N$57</f>
        <v>301.89999999999998</v>
      </c>
      <c r="O76" s="231">
        <f>InpR!O$57</f>
        <v>337.1</v>
      </c>
      <c r="P76" s="231">
        <f>InpR!P$57</f>
        <v>372.2</v>
      </c>
      <c r="Q76" s="231">
        <f>InpR!Q$57</f>
        <v>386.7</v>
      </c>
      <c r="R76" s="231">
        <f>InpR!R$57</f>
        <v>0</v>
      </c>
    </row>
    <row r="77" spans="1:18" s="65" customFormat="1" x14ac:dyDescent="0.25">
      <c r="A77" s="50"/>
      <c r="B77" s="61"/>
      <c r="C77" s="116"/>
      <c r="D77" s="53"/>
      <c r="E77" s="231" t="str">
        <f>InpR!E$58</f>
        <v>RPI: June - index - actual (including forecast)</v>
      </c>
      <c r="F77" s="231"/>
      <c r="G77" s="231" t="str">
        <f>InpR!G$58</f>
        <v>index</v>
      </c>
      <c r="H77" s="231" t="str">
        <f>InpR!I$58</f>
        <v>ONS, RPI All Items Index: Jan 1987=100</v>
      </c>
      <c r="I77" s="231" t="e">
        <f>InpR!#REF!</f>
        <v>#REF!</v>
      </c>
      <c r="J77" s="231">
        <f>InpR!J$58</f>
        <v>0</v>
      </c>
      <c r="K77" s="231">
        <f>InpR!K$58</f>
        <v>281.5</v>
      </c>
      <c r="L77" s="231">
        <f>InpR!L$58</f>
        <v>289.60000000000002</v>
      </c>
      <c r="M77" s="231">
        <f>InpR!M$58</f>
        <v>292.7</v>
      </c>
      <c r="N77" s="231">
        <f>InpR!N$58</f>
        <v>304</v>
      </c>
      <c r="O77" s="231">
        <f>InpR!O$58</f>
        <v>340</v>
      </c>
      <c r="P77" s="231">
        <f>InpR!P$58</f>
        <v>372.6</v>
      </c>
      <c r="Q77" s="231">
        <f>InpR!Q$58</f>
        <v>386.8</v>
      </c>
      <c r="R77" s="231">
        <f>InpR!R$58</f>
        <v>0</v>
      </c>
    </row>
    <row r="78" spans="1:18" s="65" customFormat="1" x14ac:dyDescent="0.25">
      <c r="A78" s="50"/>
      <c r="B78" s="61"/>
      <c r="C78" s="116"/>
      <c r="D78" s="53"/>
      <c r="E78" s="231" t="str">
        <f>InpR!E$59</f>
        <v>RPI: July - index - actual (including forecast)</v>
      </c>
      <c r="F78" s="231"/>
      <c r="G78" s="231" t="str">
        <f>InpR!G$59</f>
        <v>index</v>
      </c>
      <c r="H78" s="231" t="str">
        <f>InpR!I$59</f>
        <v>ONS, RPI All Items Index: Jan 1987=100</v>
      </c>
      <c r="I78" s="231" t="e">
        <f>InpR!#REF!</f>
        <v>#REF!</v>
      </c>
      <c r="J78" s="231">
        <f>InpR!J$59</f>
        <v>0</v>
      </c>
      <c r="K78" s="231">
        <f>InpR!K$59</f>
        <v>281.7</v>
      </c>
      <c r="L78" s="231">
        <f>InpR!L$59</f>
        <v>289.5</v>
      </c>
      <c r="M78" s="231">
        <f>InpR!M$59</f>
        <v>294.2</v>
      </c>
      <c r="N78" s="231">
        <f>InpR!N$59</f>
        <v>305.5</v>
      </c>
      <c r="O78" s="231">
        <f>InpR!O$59</f>
        <v>343.2</v>
      </c>
      <c r="P78" s="231">
        <f>InpR!P$59</f>
        <v>373.6</v>
      </c>
      <c r="Q78" s="231">
        <f>InpR!Q$59</f>
        <v>387.2</v>
      </c>
      <c r="R78" s="231">
        <f>InpR!R$59</f>
        <v>0</v>
      </c>
    </row>
    <row r="79" spans="1:18" s="65" customFormat="1" x14ac:dyDescent="0.25">
      <c r="A79" s="50"/>
      <c r="B79" s="61"/>
      <c r="C79" s="116"/>
      <c r="D79" s="53"/>
      <c r="E79" s="231" t="str">
        <f>InpR!E$60</f>
        <v>RPI: August - index - actual (including forecast)</v>
      </c>
      <c r="F79" s="231"/>
      <c r="G79" s="231" t="str">
        <f>InpR!G$60</f>
        <v>index</v>
      </c>
      <c r="H79" s="231" t="str">
        <f>InpR!I$60</f>
        <v>ONS, RPI All Items Index: Jan 1987=100</v>
      </c>
      <c r="I79" s="231" t="e">
        <f>InpR!#REF!</f>
        <v>#REF!</v>
      </c>
      <c r="J79" s="231">
        <f>InpR!J$60</f>
        <v>0</v>
      </c>
      <c r="K79" s="231">
        <f>InpR!K$60</f>
        <v>284.2</v>
      </c>
      <c r="L79" s="231">
        <f>InpR!L$60</f>
        <v>291.7</v>
      </c>
      <c r="M79" s="231">
        <f>InpR!M$60</f>
        <v>293.3</v>
      </c>
      <c r="N79" s="231">
        <f>InpR!N$60</f>
        <v>307.39999999999998</v>
      </c>
      <c r="O79" s="231">
        <f>InpR!O$60</f>
        <v>345.2</v>
      </c>
      <c r="P79" s="231">
        <f>InpR!P$60</f>
        <v>374.5</v>
      </c>
      <c r="Q79" s="231">
        <f>InpR!Q$60</f>
        <v>388.4</v>
      </c>
      <c r="R79" s="231">
        <f>InpR!R$60</f>
        <v>0</v>
      </c>
    </row>
    <row r="80" spans="1:18" s="65" customFormat="1" x14ac:dyDescent="0.25">
      <c r="A80" s="50"/>
      <c r="B80" s="61"/>
      <c r="C80" s="116"/>
      <c r="D80" s="53"/>
      <c r="E80" s="231" t="str">
        <f>InpR!E$61</f>
        <v>RPI: September - index - actual (including forecast)</v>
      </c>
      <c r="F80" s="231"/>
      <c r="G80" s="231" t="str">
        <f>InpR!G$61</f>
        <v>index</v>
      </c>
      <c r="H80" s="231" t="str">
        <f>InpR!I$61</f>
        <v>ONS, RPI All Items Index: Jan 1987=100</v>
      </c>
      <c r="I80" s="231" t="e">
        <f>InpR!#REF!</f>
        <v>#REF!</v>
      </c>
      <c r="J80" s="231">
        <f>InpR!J$61</f>
        <v>0</v>
      </c>
      <c r="K80" s="231">
        <f>InpR!K$61</f>
        <v>284.10000000000002</v>
      </c>
      <c r="L80" s="231">
        <f>InpR!L$61</f>
        <v>291</v>
      </c>
      <c r="M80" s="231">
        <f>InpR!M$61</f>
        <v>294.3</v>
      </c>
      <c r="N80" s="231">
        <f>InpR!N$61</f>
        <v>308.60000000000002</v>
      </c>
      <c r="O80" s="231">
        <f>InpR!O$61</f>
        <v>347.6</v>
      </c>
      <c r="P80" s="231">
        <f>InpR!P$61</f>
        <v>376.1</v>
      </c>
      <c r="Q80" s="231">
        <f>InpR!Q$61</f>
        <v>389.8</v>
      </c>
      <c r="R80" s="231">
        <f>InpR!R$61</f>
        <v>0</v>
      </c>
    </row>
    <row r="81" spans="1:18" s="65" customFormat="1" x14ac:dyDescent="0.25">
      <c r="A81" s="50"/>
      <c r="B81" s="61"/>
      <c r="C81" s="116"/>
      <c r="D81" s="53"/>
      <c r="E81" s="231" t="str">
        <f>InpR!E$62</f>
        <v>RPI: October - index - actual (including forecast)</v>
      </c>
      <c r="F81" s="231"/>
      <c r="G81" s="231" t="str">
        <f>InpR!G$62</f>
        <v>index</v>
      </c>
      <c r="H81" s="231" t="str">
        <f>InpR!I$62</f>
        <v>ONS, RPI All Items Index: Jan 1987=100</v>
      </c>
      <c r="I81" s="231" t="e">
        <f>InpR!#REF!</f>
        <v>#REF!</v>
      </c>
      <c r="J81" s="231">
        <f>InpR!J$62</f>
        <v>0</v>
      </c>
      <c r="K81" s="231">
        <f>InpR!K$62</f>
        <v>284.5</v>
      </c>
      <c r="L81" s="231">
        <f>InpR!L$62</f>
        <v>290.39999999999998</v>
      </c>
      <c r="M81" s="231">
        <f>InpR!M$62</f>
        <v>294.3</v>
      </c>
      <c r="N81" s="231">
        <f>InpR!N$62</f>
        <v>312</v>
      </c>
      <c r="O81" s="231">
        <f>InpR!O$62</f>
        <v>356.2</v>
      </c>
      <c r="P81" s="231">
        <f>InpR!P$62</f>
        <v>378.8</v>
      </c>
      <c r="Q81" s="231">
        <f>InpR!Q$62</f>
        <v>392.3</v>
      </c>
      <c r="R81" s="231">
        <f>InpR!R$62</f>
        <v>0</v>
      </c>
    </row>
    <row r="82" spans="1:18" s="65" customFormat="1" x14ac:dyDescent="0.25">
      <c r="A82" s="50"/>
      <c r="B82" s="61"/>
      <c r="C82" s="116"/>
      <c r="D82" s="53"/>
      <c r="E82" s="231" t="str">
        <f>InpR!E$63</f>
        <v>RPI: November - index - actual (including forecast)</v>
      </c>
      <c r="F82" s="231"/>
      <c r="G82" s="231" t="str">
        <f>InpR!G$63</f>
        <v>index</v>
      </c>
      <c r="H82" s="231" t="str">
        <f>InpR!I$63</f>
        <v>ONS, RPI All Items Index: Jan 1987=100</v>
      </c>
      <c r="I82" s="231" t="e">
        <f>InpR!#REF!</f>
        <v>#REF!</v>
      </c>
      <c r="J82" s="231">
        <f>InpR!J$63</f>
        <v>0</v>
      </c>
      <c r="K82" s="231">
        <f>InpR!K$63</f>
        <v>284.60000000000002</v>
      </c>
      <c r="L82" s="231">
        <f>InpR!L$63</f>
        <v>291</v>
      </c>
      <c r="M82" s="231">
        <f>InpR!M$63</f>
        <v>293.5</v>
      </c>
      <c r="N82" s="231">
        <f>InpR!N$63</f>
        <v>314.3</v>
      </c>
      <c r="O82" s="231">
        <f>InpR!O$63</f>
        <v>358.3</v>
      </c>
      <c r="P82" s="231">
        <f>InpR!P$63</f>
        <v>380.2</v>
      </c>
      <c r="Q82" s="231">
        <f>InpR!Q$63</f>
        <v>393.7</v>
      </c>
      <c r="R82" s="231">
        <f>InpR!R$63</f>
        <v>0</v>
      </c>
    </row>
    <row r="83" spans="1:18" s="65" customFormat="1" x14ac:dyDescent="0.25">
      <c r="A83" s="50"/>
      <c r="B83" s="61"/>
      <c r="C83" s="116"/>
      <c r="D83" s="53"/>
      <c r="E83" s="231" t="str">
        <f>InpR!E$64</f>
        <v>RPI: December - index - actual (including forecast)</v>
      </c>
      <c r="F83" s="231"/>
      <c r="G83" s="231" t="str">
        <f>InpR!G$64</f>
        <v>index</v>
      </c>
      <c r="H83" s="231" t="str">
        <f>InpR!I$64</f>
        <v>ONS, RPI All Items Index: Jan 1987=100</v>
      </c>
      <c r="I83" s="231" t="e">
        <f>InpR!#REF!</f>
        <v>#REF!</v>
      </c>
      <c r="J83" s="231">
        <f>InpR!J$64</f>
        <v>0</v>
      </c>
      <c r="K83" s="231">
        <f>InpR!K$64</f>
        <v>285.60000000000002</v>
      </c>
      <c r="L83" s="231">
        <f>InpR!L$64</f>
        <v>291.89999999999998</v>
      </c>
      <c r="M83" s="231">
        <f>InpR!M$64</f>
        <v>295.39999999999998</v>
      </c>
      <c r="N83" s="231">
        <f>InpR!N$64</f>
        <v>317.7</v>
      </c>
      <c r="O83" s="231">
        <f>InpR!O$64</f>
        <v>360.4</v>
      </c>
      <c r="P83" s="231">
        <f>InpR!P$64</f>
        <v>381.5</v>
      </c>
      <c r="Q83" s="231">
        <f>InpR!Q$64</f>
        <v>395</v>
      </c>
      <c r="R83" s="231">
        <f>InpR!R$64</f>
        <v>0</v>
      </c>
    </row>
    <row r="84" spans="1:18" s="65" customFormat="1" x14ac:dyDescent="0.25">
      <c r="A84" s="50"/>
      <c r="B84" s="61"/>
      <c r="C84" s="116"/>
      <c r="D84" s="53"/>
      <c r="E84" s="231" t="str">
        <f>InpR!E$65</f>
        <v>RPI: January - index - actual (including forecast)</v>
      </c>
      <c r="F84" s="231"/>
      <c r="G84" s="231" t="str">
        <f>InpR!G$65</f>
        <v>index</v>
      </c>
      <c r="H84" s="231" t="str">
        <f>InpR!I$65</f>
        <v>ONS, RPI All Items Index: Jan 1987=100</v>
      </c>
      <c r="I84" s="231" t="e">
        <f>InpR!#REF!</f>
        <v>#REF!</v>
      </c>
      <c r="J84" s="231">
        <f>InpR!J$65</f>
        <v>0</v>
      </c>
      <c r="K84" s="231">
        <f>InpR!K$65</f>
        <v>283</v>
      </c>
      <c r="L84" s="231">
        <f>InpR!L$65</f>
        <v>290.60000000000002</v>
      </c>
      <c r="M84" s="231">
        <f>InpR!M$65</f>
        <v>294.60000000000002</v>
      </c>
      <c r="N84" s="231">
        <f>InpR!N$65</f>
        <v>317.7</v>
      </c>
      <c r="O84" s="231">
        <f>InpR!O$65</f>
        <v>360.3</v>
      </c>
      <c r="P84" s="231">
        <f>InpR!P$65</f>
        <v>379.6</v>
      </c>
      <c r="Q84" s="231">
        <f>InpR!Q$65</f>
        <v>392.9</v>
      </c>
      <c r="R84" s="231">
        <f>InpR!R$65</f>
        <v>0</v>
      </c>
    </row>
    <row r="85" spans="1:18" s="65" customFormat="1" x14ac:dyDescent="0.25">
      <c r="A85" s="50"/>
      <c r="B85" s="61"/>
      <c r="C85" s="116"/>
      <c r="D85" s="53"/>
      <c r="E85" s="231" t="str">
        <f>InpR!E$66</f>
        <v>RPI: February - index - actual (including forecast)</v>
      </c>
      <c r="F85" s="231"/>
      <c r="G85" s="231" t="str">
        <f>InpR!G$66</f>
        <v>index</v>
      </c>
      <c r="H85" s="231" t="str">
        <f>InpR!I$66</f>
        <v>ONS, RPI All Items Index: Jan 1987=100</v>
      </c>
      <c r="I85" s="231" t="e">
        <f>InpR!#REF!</f>
        <v>#REF!</v>
      </c>
      <c r="J85" s="231">
        <f>InpR!J$66</f>
        <v>0</v>
      </c>
      <c r="K85" s="231">
        <f>InpR!K$66</f>
        <v>285</v>
      </c>
      <c r="L85" s="231">
        <f>InpR!L$66</f>
        <v>292</v>
      </c>
      <c r="M85" s="231">
        <f>InpR!M$66</f>
        <v>296</v>
      </c>
      <c r="N85" s="231">
        <f>InpR!N$66</f>
        <v>320.2</v>
      </c>
      <c r="O85" s="231">
        <f>InpR!O$66</f>
        <v>364.5</v>
      </c>
      <c r="P85" s="231">
        <f>InpR!P$66</f>
        <v>383.3</v>
      </c>
      <c r="Q85" s="231">
        <f>InpR!Q$66</f>
        <v>396.3</v>
      </c>
      <c r="R85" s="231">
        <f>InpR!R$66</f>
        <v>0</v>
      </c>
    </row>
    <row r="86" spans="1:18" s="65" customFormat="1" x14ac:dyDescent="0.25">
      <c r="A86" s="50"/>
      <c r="B86" s="61"/>
      <c r="C86" s="116"/>
      <c r="D86" s="53"/>
      <c r="E86" s="231" t="str">
        <f>InpR!E$67</f>
        <v>RPI: March - index - actual (including forecast)</v>
      </c>
      <c r="F86" s="231"/>
      <c r="G86" s="231" t="str">
        <f>InpR!G$67</f>
        <v>index</v>
      </c>
      <c r="H86" s="231" t="str">
        <f>InpR!I$67</f>
        <v>ONS, RPI All Items Index: Jan 1987=100</v>
      </c>
      <c r="I86" s="231" t="e">
        <f>InpR!#REF!</f>
        <v>#REF!</v>
      </c>
      <c r="J86" s="231">
        <f>InpR!J$67</f>
        <v>0</v>
      </c>
      <c r="K86" s="231">
        <f>InpR!K$67</f>
        <v>285.10000000000002</v>
      </c>
      <c r="L86" s="231">
        <f>InpR!L$67</f>
        <v>292.60000000000002</v>
      </c>
      <c r="M86" s="231">
        <f>InpR!M$67</f>
        <v>296.89999999999998</v>
      </c>
      <c r="N86" s="231">
        <f>InpR!N$67</f>
        <v>323.5</v>
      </c>
      <c r="O86" s="231">
        <f>InpR!O$67</f>
        <v>367.2</v>
      </c>
      <c r="P86" s="231">
        <f>InpR!P$67</f>
        <v>385.6</v>
      </c>
      <c r="Q86" s="231">
        <f>InpR!Q$67</f>
        <v>398.3</v>
      </c>
      <c r="R86" s="231">
        <f>InpR!R$67</f>
        <v>0</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333</v>
      </c>
      <c r="F88" s="91"/>
      <c r="G88" s="91" t="s">
        <v>153</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377.43333333333334</v>
      </c>
      <c r="Q88" s="91">
        <f t="shared" si="24"/>
        <v>391.125</v>
      </c>
      <c r="R88" s="91">
        <f t="shared" si="24"/>
        <v>0</v>
      </c>
    </row>
    <row r="89" spans="1:18" s="65" customFormat="1" x14ac:dyDescent="0.25">
      <c r="A89" s="50"/>
      <c r="B89" s="61"/>
      <c r="C89" s="116"/>
      <c r="D89" s="55"/>
      <c r="E89" s="91" t="s">
        <v>334</v>
      </c>
      <c r="F89" s="7"/>
      <c r="G89" s="91" t="s">
        <v>247</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7.4645280690931459E-2</v>
      </c>
      <c r="Q89" s="232">
        <f t="shared" si="25"/>
        <v>3.6275721981806841E-2</v>
      </c>
      <c r="R89" s="232">
        <f t="shared" si="25"/>
        <v>-1</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t="str">
        <f t="shared" si="26"/>
        <v>ONS, RPI All Items Index: Jan 1987=100</v>
      </c>
      <c r="I91" s="91" t="e">
        <f t="shared" si="26"/>
        <v>#REF!</v>
      </c>
      <c r="J91" s="91">
        <f t="shared" si="26"/>
        <v>0</v>
      </c>
      <c r="K91" s="91">
        <f t="shared" si="26"/>
        <v>285.10000000000002</v>
      </c>
      <c r="L91" s="91">
        <f t="shared" si="26"/>
        <v>292.60000000000002</v>
      </c>
      <c r="M91" s="91">
        <f t="shared" si="26"/>
        <v>296.89999999999998</v>
      </c>
      <c r="N91" s="91">
        <f t="shared" si="26"/>
        <v>323.5</v>
      </c>
      <c r="O91" s="91">
        <f t="shared" si="26"/>
        <v>367.2</v>
      </c>
      <c r="P91" s="91">
        <f t="shared" si="26"/>
        <v>385.6</v>
      </c>
      <c r="Q91" s="91">
        <f t="shared" si="26"/>
        <v>398.3</v>
      </c>
      <c r="R91" s="91">
        <f t="shared" si="26"/>
        <v>0</v>
      </c>
    </row>
    <row r="92" spans="1:18" s="65" customFormat="1" x14ac:dyDescent="0.25">
      <c r="A92" s="5"/>
      <c r="B92" s="9"/>
      <c r="C92" s="117"/>
      <c r="D92" s="6"/>
      <c r="E92" s="168" t="str">
        <f>E$88</f>
        <v>RPI: Financial year average - index - actual (including forecast)</v>
      </c>
      <c r="F92" s="7"/>
      <c r="G92" s="91" t="str">
        <f>G$88</f>
        <v>index</v>
      </c>
      <c r="H92" s="91">
        <f t="shared" ref="H92:R92" si="27">H$88</f>
        <v>0</v>
      </c>
      <c r="I92" s="91">
        <f t="shared" si="27"/>
        <v>0</v>
      </c>
      <c r="J92" s="91">
        <f t="shared" si="27"/>
        <v>0</v>
      </c>
      <c r="K92" s="91">
        <f t="shared" si="27"/>
        <v>283.30833333333334</v>
      </c>
      <c r="L92" s="91">
        <f t="shared" si="27"/>
        <v>290.64166666666665</v>
      </c>
      <c r="M92" s="91">
        <f t="shared" si="27"/>
        <v>294.16666666666669</v>
      </c>
      <c r="N92" s="91">
        <f t="shared" si="27"/>
        <v>311.1583333333333</v>
      </c>
      <c r="O92" s="91">
        <f t="shared" si="27"/>
        <v>351.2166666666667</v>
      </c>
      <c r="P92" s="91">
        <f t="shared" si="27"/>
        <v>377.43333333333334</v>
      </c>
      <c r="Q92" s="91">
        <f t="shared" si="27"/>
        <v>391.125</v>
      </c>
      <c r="R92" s="91">
        <f t="shared" si="27"/>
        <v>0</v>
      </c>
    </row>
    <row r="93" spans="1:18" s="65" customFormat="1" ht="12.9"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335</v>
      </c>
      <c r="F94" s="7"/>
      <c r="G94" s="91" t="s">
        <v>247</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217</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t="str">
        <f>InpR!I$70</f>
        <v>ONS, CPIH INDEX 00: ALL ITEMS 2015=100</v>
      </c>
      <c r="I97" s="231" t="e">
        <f>InpR!#REF!</f>
        <v>#REF!</v>
      </c>
      <c r="J97" s="231">
        <f>InpR!J$70</f>
        <v>103.2</v>
      </c>
      <c r="K97" s="231">
        <f>InpR!K$70</f>
        <v>105.5</v>
      </c>
      <c r="L97" s="231">
        <f>InpR!L$70</f>
        <v>107.6</v>
      </c>
      <c r="M97" s="231">
        <f>InpR!M$70</f>
        <v>108.6</v>
      </c>
      <c r="N97" s="231">
        <f>InpR!N$70</f>
        <v>110.4</v>
      </c>
      <c r="O97" s="231">
        <f>InpR!O$70</f>
        <v>119</v>
      </c>
      <c r="P97" s="231">
        <f>InpR!P$70</f>
        <v>127.9</v>
      </c>
      <c r="Q97" s="231">
        <f>InpR!Q$70</f>
        <v>131.30000000000001</v>
      </c>
      <c r="R97" s="231">
        <f>InpR!R$70</f>
        <v>0</v>
      </c>
    </row>
    <row r="98" spans="1:18" s="65" customFormat="1" x14ac:dyDescent="0.25">
      <c r="A98" s="50"/>
      <c r="B98" s="61"/>
      <c r="C98" s="116"/>
      <c r="D98" s="53"/>
      <c r="E98" s="231" t="str">
        <f>InpR!E$71</f>
        <v>CPI(H): May - index - actual (including forecast)</v>
      </c>
      <c r="F98" s="231"/>
      <c r="G98" s="231" t="str">
        <f>InpR!G$71</f>
        <v>index</v>
      </c>
      <c r="H98" s="231" t="str">
        <f>InpR!I$71</f>
        <v>ONS, CPIH INDEX 00: ALL ITEMS 2015=100</v>
      </c>
      <c r="I98" s="231" t="e">
        <f>InpR!#REF!</f>
        <v>#REF!</v>
      </c>
      <c r="J98" s="231">
        <f>InpR!J$71</f>
        <v>103.5</v>
      </c>
      <c r="K98" s="231">
        <f>InpR!K$71</f>
        <v>105.9</v>
      </c>
      <c r="L98" s="231">
        <f>InpR!L$71</f>
        <v>107.9</v>
      </c>
      <c r="M98" s="231">
        <f>InpR!M$71</f>
        <v>108.6</v>
      </c>
      <c r="N98" s="231">
        <f>InpR!N$71</f>
        <v>111</v>
      </c>
      <c r="O98" s="231">
        <f>InpR!O$71</f>
        <v>119.7</v>
      </c>
      <c r="P98" s="231">
        <f>InpR!P$71</f>
        <v>128.6</v>
      </c>
      <c r="Q98" s="231">
        <f>InpR!Q$71</f>
        <v>131.6</v>
      </c>
      <c r="R98" s="231">
        <f>InpR!R$71</f>
        <v>0</v>
      </c>
    </row>
    <row r="99" spans="1:18" s="65" customFormat="1" x14ac:dyDescent="0.25">
      <c r="A99" s="50"/>
      <c r="B99" s="61"/>
      <c r="C99" s="116"/>
      <c r="D99" s="53"/>
      <c r="E99" s="231" t="str">
        <f>InpR!E$72</f>
        <v>CPI(H): June - index - actual (including forecast)</v>
      </c>
      <c r="F99" s="231"/>
      <c r="G99" s="231" t="str">
        <f>InpR!G$72</f>
        <v>index</v>
      </c>
      <c r="H99" s="231" t="str">
        <f>InpR!I$72</f>
        <v>ONS, CPIH INDEX 00: ALL ITEMS 2015=100</v>
      </c>
      <c r="I99" s="231" t="e">
        <f>InpR!#REF!</f>
        <v>#REF!</v>
      </c>
      <c r="J99" s="231">
        <f>InpR!J$72</f>
        <v>103.5</v>
      </c>
      <c r="K99" s="231">
        <f>InpR!K$72</f>
        <v>105.9</v>
      </c>
      <c r="L99" s="231">
        <f>InpR!L$72</f>
        <v>107.9</v>
      </c>
      <c r="M99" s="231">
        <f>InpR!M$72</f>
        <v>108.8</v>
      </c>
      <c r="N99" s="231">
        <f>InpR!N$72</f>
        <v>111.4</v>
      </c>
      <c r="O99" s="231">
        <f>InpR!O$72</f>
        <v>120.5</v>
      </c>
      <c r="P99" s="231">
        <f>InpR!P$72</f>
        <v>128.9</v>
      </c>
      <c r="Q99" s="231">
        <f>InpR!Q$72</f>
        <v>131.9</v>
      </c>
      <c r="R99" s="231">
        <f>InpR!R$72</f>
        <v>0</v>
      </c>
    </row>
    <row r="100" spans="1:18" s="65" customFormat="1" x14ac:dyDescent="0.25">
      <c r="A100" s="50"/>
      <c r="B100" s="61"/>
      <c r="C100" s="116"/>
      <c r="D100" s="53"/>
      <c r="E100" s="231" t="str">
        <f>InpR!E$73</f>
        <v>CPI(H): July - index - actual (including forecast)</v>
      </c>
      <c r="F100" s="231"/>
      <c r="G100" s="231" t="str">
        <f>InpR!G$73</f>
        <v>index</v>
      </c>
      <c r="H100" s="231" t="str">
        <f>InpR!I$73</f>
        <v>ONS, CPIH INDEX 00: ALL ITEMS 2015=100</v>
      </c>
      <c r="I100" s="231" t="e">
        <f>InpR!#REF!</f>
        <v>#REF!</v>
      </c>
      <c r="J100" s="231">
        <f>InpR!J$73</f>
        <v>103.5</v>
      </c>
      <c r="K100" s="231">
        <f>InpR!K$73</f>
        <v>105.9</v>
      </c>
      <c r="L100" s="231">
        <f>InpR!L$73</f>
        <v>108</v>
      </c>
      <c r="M100" s="231">
        <f>InpR!M$73</f>
        <v>109.2</v>
      </c>
      <c r="N100" s="231">
        <f>InpR!N$73</f>
        <v>111.4</v>
      </c>
      <c r="O100" s="231">
        <f>InpR!O$73</f>
        <v>121.2</v>
      </c>
      <c r="P100" s="231">
        <f>InpR!P$73</f>
        <v>129.19999999999999</v>
      </c>
      <c r="Q100" s="231">
        <f>InpR!Q$73</f>
        <v>131.9</v>
      </c>
      <c r="R100" s="231">
        <f>InpR!R$73</f>
        <v>0</v>
      </c>
    </row>
    <row r="101" spans="1:18" s="65" customFormat="1" x14ac:dyDescent="0.25">
      <c r="A101" s="50"/>
      <c r="B101" s="61"/>
      <c r="C101" s="116"/>
      <c r="D101" s="53"/>
      <c r="E101" s="231" t="str">
        <f>InpR!E$74</f>
        <v>CPI(H): August - index - actual (including forecast)</v>
      </c>
      <c r="F101" s="231"/>
      <c r="G101" s="231" t="str">
        <f>InpR!G$74</f>
        <v>index</v>
      </c>
      <c r="H101" s="231" t="str">
        <f>InpR!I$74</f>
        <v>ONS, CPIH INDEX 00: ALL ITEMS 2015=100</v>
      </c>
      <c r="I101" s="231" t="e">
        <f>InpR!#REF!</f>
        <v>#REF!</v>
      </c>
      <c r="J101" s="231">
        <f>InpR!J$74</f>
        <v>104</v>
      </c>
      <c r="K101" s="231">
        <f>InpR!K$74</f>
        <v>106.5</v>
      </c>
      <c r="L101" s="231">
        <f>InpR!L$74</f>
        <v>108.3</v>
      </c>
      <c r="M101" s="231">
        <f>InpR!M$74</f>
        <v>108.8</v>
      </c>
      <c r="N101" s="231">
        <f>InpR!N$74</f>
        <v>112.1</v>
      </c>
      <c r="O101" s="231">
        <f>InpR!O$74</f>
        <v>121.8</v>
      </c>
      <c r="P101" s="231">
        <f>InpR!P$74</f>
        <v>129.69999999999999</v>
      </c>
      <c r="Q101" s="231">
        <f>InpR!Q$74</f>
        <v>132.30000000000001</v>
      </c>
      <c r="R101" s="231">
        <f>InpR!R$74</f>
        <v>0</v>
      </c>
    </row>
    <row r="102" spans="1:18" s="65" customFormat="1" x14ac:dyDescent="0.25">
      <c r="A102" s="50"/>
      <c r="B102" s="61"/>
      <c r="C102" s="116"/>
      <c r="D102" s="53"/>
      <c r="E102" s="231" t="str">
        <f>InpR!E$75</f>
        <v>CPI(H): September - index - actual (including forecast)</v>
      </c>
      <c r="F102" s="231"/>
      <c r="G102" s="231" t="str">
        <f>InpR!G$75</f>
        <v>index</v>
      </c>
      <c r="H102" s="231" t="str">
        <f>InpR!I$75</f>
        <v>ONS, CPIH INDEX 00: ALL ITEMS 2015=100</v>
      </c>
      <c r="I102" s="231" t="e">
        <f>InpR!#REF!</f>
        <v>#REF!</v>
      </c>
      <c r="J102" s="231">
        <f>InpR!J$75</f>
        <v>104.3</v>
      </c>
      <c r="K102" s="231">
        <f>InpR!K$75</f>
        <v>106.6</v>
      </c>
      <c r="L102" s="231">
        <f>InpR!L$75</f>
        <v>108.4</v>
      </c>
      <c r="M102" s="231">
        <f>InpR!M$75</f>
        <v>109.2</v>
      </c>
      <c r="N102" s="231">
        <f>InpR!N$75</f>
        <v>112.4</v>
      </c>
      <c r="O102" s="231">
        <f>InpR!O$75</f>
        <v>122.3</v>
      </c>
      <c r="P102" s="231">
        <f>InpR!P$75</f>
        <v>129.6</v>
      </c>
      <c r="Q102" s="231">
        <f>InpR!Q$75</f>
        <v>132.19999999999999</v>
      </c>
      <c r="R102" s="231">
        <f>InpR!R$75</f>
        <v>0</v>
      </c>
    </row>
    <row r="103" spans="1:18" s="65" customFormat="1" x14ac:dyDescent="0.25">
      <c r="A103" s="50"/>
      <c r="B103" s="61"/>
      <c r="C103" s="116"/>
      <c r="D103" s="53"/>
      <c r="E103" s="231" t="str">
        <f>InpR!E$76</f>
        <v>CPI(H): October - index - actual (including forecast)</v>
      </c>
      <c r="F103" s="231"/>
      <c r="G103" s="231" t="str">
        <f>InpR!G$76</f>
        <v>index</v>
      </c>
      <c r="H103" s="231" t="str">
        <f>InpR!I$76</f>
        <v>ONS, CPIH INDEX 00: ALL ITEMS 2015=100</v>
      </c>
      <c r="I103" s="231" t="e">
        <f>InpR!#REF!</f>
        <v>#REF!</v>
      </c>
      <c r="J103" s="231">
        <f>InpR!J$76</f>
        <v>104.4</v>
      </c>
      <c r="K103" s="231">
        <f>InpR!K$76</f>
        <v>106.7</v>
      </c>
      <c r="L103" s="231">
        <f>InpR!L$76</f>
        <v>108.3</v>
      </c>
      <c r="M103" s="231">
        <f>InpR!M$76</f>
        <v>109.2</v>
      </c>
      <c r="N103" s="231">
        <f>InpR!N$76</f>
        <v>113.4</v>
      </c>
      <c r="O103" s="231">
        <f>InpR!O$76</f>
        <v>124.3</v>
      </c>
      <c r="P103" s="231">
        <f>InpR!P$76</f>
        <v>130</v>
      </c>
      <c r="Q103" s="231">
        <f>InpR!Q$76</f>
        <v>132.4</v>
      </c>
      <c r="R103" s="231">
        <f>InpR!R$76</f>
        <v>0</v>
      </c>
    </row>
    <row r="104" spans="1:18" s="65" customFormat="1" x14ac:dyDescent="0.25">
      <c r="A104" s="50"/>
      <c r="B104" s="61"/>
      <c r="C104" s="116"/>
      <c r="D104" s="53"/>
      <c r="E104" s="231" t="str">
        <f>InpR!E$77</f>
        <v>CPI(H): November - index - actual (including forecast)</v>
      </c>
      <c r="F104" s="231"/>
      <c r="G104" s="231" t="str">
        <f>InpR!G$77</f>
        <v>index</v>
      </c>
      <c r="H104" s="231" t="str">
        <f>InpR!I$77</f>
        <v>ONS, CPIH INDEX 00: ALL ITEMS 2015=100</v>
      </c>
      <c r="I104" s="231" t="e">
        <f>InpR!#REF!</f>
        <v>#REF!</v>
      </c>
      <c r="J104" s="231">
        <f>InpR!J$77</f>
        <v>104.7</v>
      </c>
      <c r="K104" s="231">
        <f>InpR!K$77</f>
        <v>106.9</v>
      </c>
      <c r="L104" s="231">
        <f>InpR!L$77</f>
        <v>108.5</v>
      </c>
      <c r="M104" s="231">
        <f>InpR!M$77</f>
        <v>109.1</v>
      </c>
      <c r="N104" s="231">
        <f>InpR!N$77</f>
        <v>114.1</v>
      </c>
      <c r="O104" s="231">
        <f>InpR!O$77</f>
        <v>124.8</v>
      </c>
      <c r="P104" s="231">
        <f>InpR!P$77</f>
        <v>130.19999999999999</v>
      </c>
      <c r="Q104" s="231">
        <f>InpR!Q$77</f>
        <v>132.5</v>
      </c>
      <c r="R104" s="231">
        <f>InpR!R$77</f>
        <v>0</v>
      </c>
    </row>
    <row r="105" spans="1:18" s="65" customFormat="1" x14ac:dyDescent="0.25">
      <c r="A105" s="50"/>
      <c r="B105" s="61"/>
      <c r="C105" s="116"/>
      <c r="D105" s="53"/>
      <c r="E105" s="231" t="str">
        <f>InpR!E$78</f>
        <v>CPI(H): December - index - actual (including forecast)</v>
      </c>
      <c r="F105" s="231"/>
      <c r="G105" s="231" t="str">
        <f>InpR!G$78</f>
        <v>index</v>
      </c>
      <c r="H105" s="231" t="str">
        <f>InpR!I$78</f>
        <v>ONS, CPIH INDEX 00: ALL ITEMS 2015=100</v>
      </c>
      <c r="I105" s="231" t="e">
        <f>InpR!#REF!</f>
        <v>#REF!</v>
      </c>
      <c r="J105" s="231">
        <f>InpR!J$78</f>
        <v>105</v>
      </c>
      <c r="K105" s="231">
        <f>InpR!K$78</f>
        <v>107.1</v>
      </c>
      <c r="L105" s="231">
        <f>InpR!L$78</f>
        <v>108.5</v>
      </c>
      <c r="M105" s="231">
        <f>InpR!M$78</f>
        <v>109.4</v>
      </c>
      <c r="N105" s="231">
        <f>InpR!N$78</f>
        <v>114.7</v>
      </c>
      <c r="O105" s="231">
        <f>InpR!O$78</f>
        <v>125.3</v>
      </c>
      <c r="P105" s="231">
        <f>InpR!P$78</f>
        <v>130.4</v>
      </c>
      <c r="Q105" s="231">
        <f>InpR!Q$78</f>
        <v>132.80000000000001</v>
      </c>
      <c r="R105" s="231">
        <f>InpR!R$78</f>
        <v>0</v>
      </c>
    </row>
    <row r="106" spans="1:18" s="65" customFormat="1" x14ac:dyDescent="0.25">
      <c r="A106" s="50"/>
      <c r="B106" s="61"/>
      <c r="C106" s="116"/>
      <c r="D106" s="53"/>
      <c r="E106" s="231" t="str">
        <f>InpR!E$79</f>
        <v>CPI(H): January - index - actual (including forecast)</v>
      </c>
      <c r="F106" s="231"/>
      <c r="G106" s="231" t="str">
        <f>InpR!G$79</f>
        <v>index</v>
      </c>
      <c r="H106" s="231" t="str">
        <f>InpR!I$79</f>
        <v>ONS, CPIH INDEX 00: ALL ITEMS 2015=100</v>
      </c>
      <c r="I106" s="231" t="e">
        <f>InpR!#REF!</f>
        <v>#REF!</v>
      </c>
      <c r="J106" s="231">
        <f>InpR!J$79</f>
        <v>104.5</v>
      </c>
      <c r="K106" s="231">
        <f>InpR!K$79</f>
        <v>106.4</v>
      </c>
      <c r="L106" s="231">
        <f>InpR!L$79</f>
        <v>108.3</v>
      </c>
      <c r="M106" s="231">
        <f>InpR!M$79</f>
        <v>109.3</v>
      </c>
      <c r="N106" s="231">
        <f>InpR!N$79</f>
        <v>114.6</v>
      </c>
      <c r="O106" s="231">
        <f>InpR!O$79</f>
        <v>124.8</v>
      </c>
      <c r="P106" s="231">
        <f>InpR!P$79</f>
        <v>129.5</v>
      </c>
      <c r="Q106" s="231">
        <f>InpR!Q$79</f>
        <v>131.9</v>
      </c>
      <c r="R106" s="231">
        <f>InpR!R$79</f>
        <v>0</v>
      </c>
    </row>
    <row r="107" spans="1:18" s="65" customFormat="1" x14ac:dyDescent="0.25">
      <c r="A107" s="50"/>
      <c r="B107" s="61"/>
      <c r="C107" s="116"/>
      <c r="D107" s="53"/>
      <c r="E107" s="231" t="str">
        <f>InpR!E$80</f>
        <v>CPI(H): February - index - actual (including forecast)</v>
      </c>
      <c r="F107" s="231"/>
      <c r="G107" s="231" t="str">
        <f>InpR!G$80</f>
        <v>index</v>
      </c>
      <c r="H107" s="231" t="str">
        <f>InpR!I$80</f>
        <v>ONS, CPIH INDEX 00: ALL ITEMS 2015=100</v>
      </c>
      <c r="I107" s="231" t="e">
        <f>InpR!#REF!</f>
        <v>#REF!</v>
      </c>
      <c r="J107" s="231">
        <f>InpR!J$80</f>
        <v>104.9</v>
      </c>
      <c r="K107" s="231">
        <f>InpR!K$80</f>
        <v>106.8</v>
      </c>
      <c r="L107" s="231">
        <f>InpR!L$80</f>
        <v>108.6</v>
      </c>
      <c r="M107" s="231">
        <f>InpR!M$80</f>
        <v>109.4</v>
      </c>
      <c r="N107" s="231">
        <f>InpR!N$80</f>
        <v>115.4</v>
      </c>
      <c r="O107" s="231">
        <f>InpR!O$80</f>
        <v>126</v>
      </c>
      <c r="P107" s="231">
        <f>InpR!P$80</f>
        <v>130.4</v>
      </c>
      <c r="Q107" s="231">
        <f>InpR!Q$80</f>
        <v>132.9</v>
      </c>
      <c r="R107" s="231">
        <f>InpR!R$80</f>
        <v>0</v>
      </c>
    </row>
    <row r="108" spans="1:18" s="65" customFormat="1" x14ac:dyDescent="0.25">
      <c r="A108" s="50"/>
      <c r="B108" s="61"/>
      <c r="C108" s="116"/>
      <c r="D108" s="53"/>
      <c r="E108" s="231" t="str">
        <f>InpR!E$81</f>
        <v>CPI(H): March - index - actual (including forecast)</v>
      </c>
      <c r="F108" s="231"/>
      <c r="G108" s="231" t="str">
        <f>InpR!G$81</f>
        <v>index</v>
      </c>
      <c r="H108" s="231" t="str">
        <f>InpR!I$81</f>
        <v>ONS, CPIH INDEX 00: ALL ITEMS 2015=100</v>
      </c>
      <c r="I108" s="231" t="e">
        <f>InpR!#REF!</f>
        <v>#REF!</v>
      </c>
      <c r="J108" s="231">
        <f>InpR!J$81</f>
        <v>105.1</v>
      </c>
      <c r="K108" s="231">
        <f>InpR!K$81</f>
        <v>107</v>
      </c>
      <c r="L108" s="231">
        <f>InpR!L$81</f>
        <v>108.6</v>
      </c>
      <c r="M108" s="231">
        <f>InpR!M$81</f>
        <v>109.7</v>
      </c>
      <c r="N108" s="231">
        <f>InpR!N$81</f>
        <v>116.5</v>
      </c>
      <c r="O108" s="231">
        <f>InpR!O$81</f>
        <v>126.8</v>
      </c>
      <c r="P108" s="231">
        <f>InpR!P$81</f>
        <v>131.1</v>
      </c>
      <c r="Q108" s="231">
        <f>InpR!Q$81</f>
        <v>133.69999999999999</v>
      </c>
      <c r="R108" s="231">
        <f>InpR!R$81</f>
        <v>0</v>
      </c>
    </row>
    <row r="109" spans="1:18" s="65" customFormat="1" x14ac:dyDescent="0.25">
      <c r="A109" s="48"/>
      <c r="B109" s="59"/>
      <c r="C109" s="108"/>
      <c r="D109" s="53"/>
      <c r="E109" s="93"/>
      <c r="G109" s="37"/>
    </row>
    <row r="110" spans="1:18" s="65" customFormat="1" x14ac:dyDescent="0.25">
      <c r="A110" s="50"/>
      <c r="B110" s="61"/>
      <c r="C110" s="116"/>
      <c r="D110" s="55"/>
      <c r="E110" s="91" t="s">
        <v>336</v>
      </c>
      <c r="F110" s="91"/>
      <c r="G110" s="91" t="s">
        <v>153</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129.625</v>
      </c>
      <c r="Q110" s="230">
        <f t="shared" si="35"/>
        <v>132.28333333333333</v>
      </c>
      <c r="R110" s="230">
        <f t="shared" si="35"/>
        <v>0</v>
      </c>
    </row>
    <row r="111" spans="1:18" s="65" customFormat="1" x14ac:dyDescent="0.25">
      <c r="A111" s="50"/>
      <c r="B111" s="61"/>
      <c r="C111" s="116"/>
      <c r="D111" s="55"/>
      <c r="E111" s="91" t="s">
        <v>337</v>
      </c>
      <c r="F111" s="91"/>
      <c r="G111" s="91" t="s">
        <v>247</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1.2438029745722055</v>
      </c>
      <c r="Q111" s="232">
        <f t="shared" si="36"/>
        <v>1.2693107308491924</v>
      </c>
      <c r="R111" s="232">
        <f t="shared" si="36"/>
        <v>0</v>
      </c>
    </row>
    <row r="112" spans="1:18" s="65" customFormat="1" x14ac:dyDescent="0.25">
      <c r="A112" s="50"/>
      <c r="B112" s="61"/>
      <c r="C112" s="116"/>
      <c r="D112" s="55"/>
      <c r="E112" s="91" t="s">
        <v>338</v>
      </c>
      <c r="F112" s="7"/>
      <c r="G112" s="91" t="s">
        <v>247</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5.3504910260751881E-2</v>
      </c>
      <c r="Q112" s="232">
        <f t="shared" si="37"/>
        <v>2.0507875281259969E-2</v>
      </c>
      <c r="R112" s="232">
        <f t="shared" si="37"/>
        <v>-1</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H114" si="38">G$108</f>
        <v>index</v>
      </c>
      <c r="H114" s="91" t="str">
        <f t="shared" si="38"/>
        <v>ONS, CPIH INDEX 00: ALL ITEMS 2015=100</v>
      </c>
      <c r="I114" s="91"/>
      <c r="J114" s="91">
        <f t="shared" ref="J114:R114" si="39">J$108</f>
        <v>105.1</v>
      </c>
      <c r="K114" s="91">
        <f t="shared" si="39"/>
        <v>107</v>
      </c>
      <c r="L114" s="91">
        <f t="shared" si="39"/>
        <v>108.6</v>
      </c>
      <c r="M114" s="91">
        <f t="shared" si="39"/>
        <v>109.7</v>
      </c>
      <c r="N114" s="91">
        <f t="shared" si="39"/>
        <v>116.5</v>
      </c>
      <c r="O114" s="91">
        <f t="shared" si="39"/>
        <v>126.8</v>
      </c>
      <c r="P114" s="91">
        <f t="shared" si="39"/>
        <v>131.1</v>
      </c>
      <c r="Q114" s="91">
        <f t="shared" si="39"/>
        <v>133.69999999999999</v>
      </c>
      <c r="R114" s="91">
        <f t="shared" si="39"/>
        <v>0</v>
      </c>
    </row>
    <row r="115" spans="1:18" s="65" customFormat="1" x14ac:dyDescent="0.25">
      <c r="A115" s="50"/>
      <c r="B115" s="61"/>
      <c r="C115" s="116"/>
      <c r="D115" s="55"/>
      <c r="E115" s="91" t="str">
        <f>E$110</f>
        <v>CPI(H): Financial year average - index - actual (including forecast)</v>
      </c>
      <c r="F115" s="91"/>
      <c r="G115" s="91" t="str">
        <f t="shared" ref="G115:H115" si="40">G$110</f>
        <v>index</v>
      </c>
      <c r="H115" s="91">
        <f t="shared" si="40"/>
        <v>0</v>
      </c>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129.625</v>
      </c>
      <c r="Q115" s="91">
        <f t="shared" si="41"/>
        <v>132.28333333333333</v>
      </c>
      <c r="R115" s="91">
        <f t="shared" si="41"/>
        <v>0</v>
      </c>
    </row>
    <row r="116" spans="1:18" s="65" customFormat="1" ht="12.9"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339</v>
      </c>
      <c r="F117" s="7"/>
      <c r="G117" s="91" t="s">
        <v>247</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340</v>
      </c>
      <c r="F121" s="7"/>
      <c r="G121" s="91" t="s">
        <v>247</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329</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f t="shared" si="52"/>
        <v>0</v>
      </c>
      <c r="I124" s="168">
        <f t="shared" si="52"/>
        <v>0</v>
      </c>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f t="shared" si="53"/>
        <v>0</v>
      </c>
      <c r="I125" s="168">
        <f t="shared" si="53"/>
        <v>0</v>
      </c>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5.3504910260751881E-2</v>
      </c>
      <c r="Q125" s="232">
        <f t="shared" si="53"/>
        <v>2.0507875281259969E-2</v>
      </c>
      <c r="R125" s="232">
        <f t="shared" si="53"/>
        <v>-1</v>
      </c>
    </row>
    <row r="126" spans="1:18" s="65" customFormat="1" ht="12.9"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341</v>
      </c>
      <c r="F127" s="168"/>
      <c r="G127" s="168" t="s">
        <v>247</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f t="shared" si="55"/>
        <v>0</v>
      </c>
      <c r="I129" s="168">
        <f t="shared" si="55"/>
        <v>0</v>
      </c>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7.4645280690931459E-2</v>
      </c>
      <c r="Q130" s="235">
        <f t="shared" si="56"/>
        <v>3.6275721981806841E-2</v>
      </c>
      <c r="R130" s="235">
        <f t="shared" si="56"/>
        <v>-1</v>
      </c>
    </row>
    <row r="131" spans="1:18" s="65" customFormat="1" x14ac:dyDescent="0.25">
      <c r="A131" s="50"/>
      <c r="B131" s="61"/>
      <c r="C131" s="116"/>
      <c r="D131" s="55"/>
      <c r="E131" s="168" t="s">
        <v>342</v>
      </c>
      <c r="F131" s="168"/>
      <c r="G131" s="168" t="s">
        <v>247</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7.4645280690931459E-2</v>
      </c>
      <c r="Q131" s="236">
        <f t="shared" si="57"/>
        <v>3.6275721981806841E-2</v>
      </c>
      <c r="R131" s="236">
        <f t="shared" si="57"/>
        <v>-1</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f t="shared" si="58"/>
        <v>0</v>
      </c>
      <c r="I133" s="168">
        <f t="shared" si="58"/>
        <v>0</v>
      </c>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7.4645280690931459E-2</v>
      </c>
      <c r="Q133" s="235">
        <f t="shared" si="58"/>
        <v>3.6275721981806841E-2</v>
      </c>
      <c r="R133" s="235">
        <f t="shared" si="58"/>
        <v>-1</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f t="shared" si="59"/>
        <v>0</v>
      </c>
      <c r="I134" s="168">
        <f t="shared" si="59"/>
        <v>0</v>
      </c>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5.3504910260751881E-2</v>
      </c>
      <c r="Q134" s="235">
        <f t="shared" si="59"/>
        <v>2.0507875281259969E-2</v>
      </c>
      <c r="R134" s="235">
        <f t="shared" si="59"/>
        <v>-1</v>
      </c>
    </row>
    <row r="135" spans="1:18" s="65" customFormat="1" x14ac:dyDescent="0.25">
      <c r="A135" s="50"/>
      <c r="B135" s="61"/>
      <c r="C135" s="116"/>
      <c r="D135" s="55"/>
      <c r="E135" s="237" t="s">
        <v>343</v>
      </c>
      <c r="F135" s="237"/>
      <c r="G135" s="237" t="s">
        <v>247</v>
      </c>
      <c r="H135" s="237"/>
      <c r="I135" s="237">
        <f>I$167</f>
        <v>0</v>
      </c>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2.1140370430179578E-2</v>
      </c>
      <c r="Q135" s="238">
        <f t="shared" si="60"/>
        <v>1.5767846700546873E-2</v>
      </c>
      <c r="R135" s="238">
        <f t="shared" si="60"/>
        <v>0</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ht="12.9" x14ac:dyDescent="0.25">
      <c r="A138" s="10" t="s">
        <v>114</v>
      </c>
      <c r="B138" s="1"/>
      <c r="C138" s="1"/>
      <c r="D138" s="1"/>
      <c r="E138" s="1"/>
      <c r="F138" s="1"/>
      <c r="G138" s="1"/>
      <c r="H138" s="1"/>
      <c r="I138" s="1"/>
      <c r="J138" s="1"/>
      <c r="K138" s="1"/>
      <c r="L138" s="1"/>
      <c r="M138" s="1"/>
      <c r="N138" s="1"/>
      <c r="O138" s="1"/>
      <c r="P138" s="1"/>
      <c r="Q138" s="1"/>
      <c r="R138" s="1"/>
    </row>
  </sheetData>
  <conditionalFormatting sqref="F2">
    <cfRule type="cellIs" dxfId="70" priority="2" stopIfTrue="1" operator="notEqual">
      <formula>0</formula>
    </cfRule>
    <cfRule type="cellIs" dxfId="69" priority="3" stopIfTrue="1" operator="equal">
      <formula>""</formula>
    </cfRule>
  </conditionalFormatting>
  <conditionalFormatting sqref="S3:BZ3">
    <cfRule type="cellIs" dxfId="68" priority="14" operator="equal">
      <formula>"Post-Fcst"</formula>
    </cfRule>
    <cfRule type="cellIs" dxfId="67" priority="15" operator="equal">
      <formula>"Forecast"</formula>
    </cfRule>
    <cfRule type="cellIs" dxfId="66" priority="16" operator="equal">
      <formula>"Pre Fcst"</formula>
    </cfRule>
  </conditionalFormatting>
  <conditionalFormatting sqref="J3:R3">
    <cfRule type="cellIs" dxfId="65" priority="6" operator="equal">
      <formula>"Post-Fcst"</formula>
    </cfRule>
    <cfRule type="cellIs" dxfId="64" priority="7" operator="equal">
      <formula>"Forecast"</formula>
    </cfRule>
    <cfRule type="cellIs" dxfId="63"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45"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25" x14ac:dyDescent="0.45">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ht="12.9" x14ac:dyDescent="0.25">
      <c r="A8" s="285" t="s">
        <v>344</v>
      </c>
      <c r="B8" s="286"/>
      <c r="C8" s="287"/>
      <c r="D8" s="287"/>
      <c r="E8" s="287"/>
      <c r="F8" s="287"/>
      <c r="G8" s="287"/>
      <c r="H8" s="287"/>
      <c r="I8" s="287"/>
      <c r="J8" s="287"/>
      <c r="K8" s="287"/>
      <c r="L8" s="287"/>
      <c r="M8" s="287"/>
      <c r="N8" s="287"/>
      <c r="O8" s="287"/>
      <c r="P8" s="287"/>
      <c r="Q8" s="287"/>
      <c r="R8" s="287"/>
    </row>
    <row r="10" spans="1:26" x14ac:dyDescent="0.25">
      <c r="C10" s="110" t="s">
        <v>345</v>
      </c>
    </row>
    <row r="12" spans="1:26" x14ac:dyDescent="0.25">
      <c r="B12" s="61" t="s">
        <v>346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349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100.14279315168956</v>
      </c>
      <c r="N22" s="241">
        <f t="shared" si="3"/>
        <v>97.484491709254158</v>
      </c>
      <c r="O22" s="241">
        <f t="shared" si="3"/>
        <v>95.390534703570225</v>
      </c>
      <c r="P22" s="241">
        <f t="shared" si="3"/>
        <v>93.515261776263301</v>
      </c>
      <c r="Q22" s="241">
        <f t="shared" si="3"/>
        <v>91.720965745509844</v>
      </c>
      <c r="R22" s="241">
        <f t="shared" si="3"/>
        <v>89.961097231557588</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350</v>
      </c>
      <c r="G24" s="91" t="s">
        <v>235</v>
      </c>
      <c r="J24" s="184">
        <f>J22*J23</f>
        <v>0</v>
      </c>
      <c r="K24" s="184">
        <f t="shared" ref="K24:R24" si="5">K22*K23</f>
        <v>0</v>
      </c>
      <c r="L24" s="184">
        <f t="shared" si="5"/>
        <v>0</v>
      </c>
      <c r="M24" s="184">
        <f>M22*M23</f>
        <v>2.4292730407074856</v>
      </c>
      <c r="N24" s="184">
        <f t="shared" si="5"/>
        <v>2.8843368929872368</v>
      </c>
      <c r="O24" s="184">
        <f t="shared" si="5"/>
        <v>3.0051531923297192</v>
      </c>
      <c r="P24" s="184">
        <f t="shared" si="5"/>
        <v>2.9924883768404906</v>
      </c>
      <c r="Q24" s="184">
        <f t="shared" si="5"/>
        <v>2.9350709038562974</v>
      </c>
      <c r="R24" s="184">
        <f t="shared" si="5"/>
        <v>2.69883291694671</v>
      </c>
      <c r="S24" s="92"/>
      <c r="T24" s="92"/>
      <c r="U24" s="92"/>
      <c r="V24" s="92"/>
      <c r="W24" s="92"/>
      <c r="X24" s="92"/>
      <c r="Y24" s="92"/>
      <c r="Z24" s="92"/>
    </row>
    <row r="26" spans="1:16383" s="205" customFormat="1" x14ac:dyDescent="0.25">
      <c r="A26" s="201"/>
      <c r="B26" s="202"/>
      <c r="C26" s="203"/>
      <c r="D26" s="204"/>
      <c r="E26" s="37" t="str">
        <f xml:space="preserve"> InpR!E$94</f>
        <v>Run-off rate - CPI(H) + RPI wedge - active - WR</v>
      </c>
      <c r="F26" s="205">
        <f xml:space="preserve"> InpR!F$94</f>
        <v>0</v>
      </c>
      <c r="G26" s="223" t="str">
        <f xml:space="preserve"> InpR!G$94</f>
        <v>%</v>
      </c>
      <c r="H26" s="205" t="str">
        <f xml:space="preserve"> InpR!I$94</f>
        <v>PR19 Financial model, 'F_OutputsMaster' sheet row 953, PR19FM2090POST</v>
      </c>
      <c r="I26" s="205" t="e">
        <f xml:space="preserve"> InpR!#REF!</f>
        <v>#REF!</v>
      </c>
      <c r="J26" s="205">
        <f xml:space="preserve"> InpR!J$94</f>
        <v>0</v>
      </c>
      <c r="K26" s="205">
        <f xml:space="preserve"> InpR!K$94</f>
        <v>0</v>
      </c>
      <c r="L26" s="205">
        <f xml:space="preserve"> InpR!L$94</f>
        <v>0</v>
      </c>
      <c r="M26" s="205">
        <f xml:space="preserve"> InpR!M$94</f>
        <v>4.9599999999999998E-2</v>
      </c>
      <c r="N26" s="205">
        <f xml:space="preserve"> InpR!N$94</f>
        <v>4.9599999999999998E-2</v>
      </c>
      <c r="O26" s="205">
        <f xml:space="preserve"> InpR!O$94</f>
        <v>4.9599999999999998E-2</v>
      </c>
      <c r="P26" s="205">
        <f xml:space="preserve"> InpR!P$94</f>
        <v>4.9599999999999998E-2</v>
      </c>
      <c r="Q26" s="205">
        <f xml:space="preserve"> InpR!Q$94</f>
        <v>4.9599999999999998E-2</v>
      </c>
      <c r="R26" s="205">
        <f xml:space="preserve"> InpR!R$94</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100.14279315168956</v>
      </c>
      <c r="N27" s="241">
        <f t="shared" si="6"/>
        <v>97.484491709254158</v>
      </c>
      <c r="O27" s="241">
        <f t="shared" si="6"/>
        <v>95.390534703570225</v>
      </c>
      <c r="P27" s="241">
        <f t="shared" si="6"/>
        <v>93.515261776263301</v>
      </c>
      <c r="Q27" s="241">
        <f t="shared" si="6"/>
        <v>91.720965745509844</v>
      </c>
      <c r="R27" s="241">
        <f t="shared" si="6"/>
        <v>89.961097231557588</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2.4292730407074856</v>
      </c>
      <c r="N28" s="184">
        <f t="shared" si="7"/>
        <v>2.8843368929872368</v>
      </c>
      <c r="O28" s="184">
        <f t="shared" si="7"/>
        <v>3.0051531923297192</v>
      </c>
      <c r="P28" s="184">
        <f t="shared" si="7"/>
        <v>2.9924883768404906</v>
      </c>
      <c r="Q28" s="184">
        <f t="shared" si="7"/>
        <v>2.9350709038562974</v>
      </c>
      <c r="R28" s="184">
        <f t="shared" si="7"/>
        <v>2.69883291694671</v>
      </c>
    </row>
    <row r="29" spans="1:16383" x14ac:dyDescent="0.25">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5.0875744831428928</v>
      </c>
      <c r="N29" s="184">
        <f t="shared" si="8"/>
        <v>4.9782938986711729</v>
      </c>
      <c r="O29" s="184">
        <f t="shared" si="8"/>
        <v>4.8804261196366365</v>
      </c>
      <c r="P29" s="184">
        <f t="shared" si="8"/>
        <v>4.7867844075939479</v>
      </c>
      <c r="Q29" s="184">
        <f t="shared" si="8"/>
        <v>4.6949394178085608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InpR!$E$87</f>
        <v>RCV - CPI(H) + RPI wedge initial balance - nominal - WR</v>
      </c>
      <c r="F31" s="250">
        <f>InpR!$F$87</f>
        <v>100.14279315168956</v>
      </c>
      <c r="G31" s="200" t="str">
        <f>InpR!$G$87</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352</v>
      </c>
      <c r="G34" s="92" t="s">
        <v>235</v>
      </c>
      <c r="J34" s="242">
        <f t="shared" ref="J34:R34" si="9" xml:space="preserve"> I37</f>
        <v>0</v>
      </c>
      <c r="K34" s="242">
        <f t="shared" si="9"/>
        <v>0</v>
      </c>
      <c r="L34" s="242">
        <f t="shared" si="9"/>
        <v>0</v>
      </c>
      <c r="M34" s="242">
        <f t="shared" si="9"/>
        <v>100.14279315168956</v>
      </c>
      <c r="N34" s="242">
        <f t="shared" si="9"/>
        <v>97.484491709254158</v>
      </c>
      <c r="O34" s="242">
        <f t="shared" si="9"/>
        <v>95.390534703570225</v>
      </c>
      <c r="P34" s="242">
        <f t="shared" si="9"/>
        <v>93.515261776263301</v>
      </c>
      <c r="Q34" s="242">
        <f t="shared" si="9"/>
        <v>91.720965745509844</v>
      </c>
      <c r="R34" s="242">
        <f t="shared" si="9"/>
        <v>89.961097231557588</v>
      </c>
    </row>
    <row r="35" spans="1:26" x14ac:dyDescent="0.25">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2.4292730407074856</v>
      </c>
      <c r="N35" s="242">
        <f t="shared" si="10"/>
        <v>2.8843368929872368</v>
      </c>
      <c r="O35" s="242">
        <f t="shared" si="10"/>
        <v>3.0051531923297192</v>
      </c>
      <c r="P35" s="242">
        <f t="shared" si="10"/>
        <v>2.9924883768404906</v>
      </c>
      <c r="Q35" s="242">
        <f t="shared" si="10"/>
        <v>2.9350709038562974</v>
      </c>
      <c r="R35" s="242">
        <f t="shared" si="10"/>
        <v>2.69883291694671</v>
      </c>
    </row>
    <row r="36" spans="1:26" x14ac:dyDescent="0.25">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5.0875744831428928</v>
      </c>
      <c r="N36" s="242">
        <f t="shared" si="11"/>
        <v>4.9782938986711729</v>
      </c>
      <c r="O36" s="242">
        <f t="shared" si="11"/>
        <v>4.8804261196366365</v>
      </c>
      <c r="P36" s="242">
        <f t="shared" si="11"/>
        <v>4.7867844075939479</v>
      </c>
      <c r="Q36" s="242">
        <f t="shared" si="11"/>
        <v>4.6949394178085608</v>
      </c>
      <c r="R36" s="242">
        <f t="shared" si="11"/>
        <v>0</v>
      </c>
    </row>
    <row r="37" spans="1:26" s="138" customFormat="1" x14ac:dyDescent="0.25">
      <c r="A37" s="134"/>
      <c r="B37" s="135"/>
      <c r="C37" s="136"/>
      <c r="D37" s="137"/>
      <c r="E37" s="138" t="s">
        <v>355</v>
      </c>
      <c r="G37" s="163" t="s">
        <v>235</v>
      </c>
      <c r="J37" s="243">
        <f t="shared" ref="J37:R37" si="12" xml:space="preserve"> IF( J32 = 1, $F31, J34 + J35 - J36)</f>
        <v>0</v>
      </c>
      <c r="K37" s="243">
        <f t="shared" si="12"/>
        <v>0</v>
      </c>
      <c r="L37" s="243">
        <f t="shared" si="12"/>
        <v>100.14279315168956</v>
      </c>
      <c r="M37" s="243">
        <f t="shared" si="12"/>
        <v>97.484491709254158</v>
      </c>
      <c r="N37" s="243">
        <f t="shared" si="12"/>
        <v>95.390534703570225</v>
      </c>
      <c r="O37" s="243">
        <f t="shared" si="12"/>
        <v>93.515261776263301</v>
      </c>
      <c r="P37" s="243">
        <f t="shared" si="12"/>
        <v>91.720965745509844</v>
      </c>
      <c r="Q37" s="243">
        <f t="shared" si="12"/>
        <v>89.961097231557588</v>
      </c>
      <c r="R37" s="243">
        <f t="shared" si="12"/>
        <v>92.659930148504301</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100.14279315168956</v>
      </c>
      <c r="N39" s="185">
        <f t="shared" si="13"/>
        <v>97.484491709254158</v>
      </c>
      <c r="O39" s="185">
        <f t="shared" si="13"/>
        <v>95.390534703570225</v>
      </c>
      <c r="P39" s="185">
        <f t="shared" si="13"/>
        <v>93.515261776263301</v>
      </c>
      <c r="Q39" s="185">
        <f t="shared" si="13"/>
        <v>91.720965745509844</v>
      </c>
      <c r="R39" s="185">
        <f t="shared" si="13"/>
        <v>89.961097231557588</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2.4292730407074856</v>
      </c>
      <c r="N40" s="242">
        <f t="shared" si="14"/>
        <v>2.8843368929872368</v>
      </c>
      <c r="O40" s="242">
        <f t="shared" si="14"/>
        <v>3.0051531923297192</v>
      </c>
      <c r="P40" s="242">
        <f t="shared" si="14"/>
        <v>2.9924883768404906</v>
      </c>
      <c r="Q40" s="242">
        <f t="shared" si="14"/>
        <v>2.9350709038562974</v>
      </c>
      <c r="R40" s="242">
        <f t="shared" si="14"/>
        <v>2.69883291694671</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100.14279315168956</v>
      </c>
      <c r="M41" s="185">
        <f t="shared" si="15"/>
        <v>97.484491709254158</v>
      </c>
      <c r="N41" s="185">
        <f t="shared" si="15"/>
        <v>95.390534703570225</v>
      </c>
      <c r="O41" s="185">
        <f t="shared" si="15"/>
        <v>93.515261776263301</v>
      </c>
      <c r="P41" s="185">
        <f t="shared" si="15"/>
        <v>91.720965745509844</v>
      </c>
      <c r="Q41" s="185">
        <f t="shared" si="15"/>
        <v>89.961097231557588</v>
      </c>
      <c r="R41" s="185">
        <f t="shared" si="15"/>
        <v>92.659930148504301</v>
      </c>
    </row>
    <row r="42" spans="1:26" s="92" customFormat="1" x14ac:dyDescent="0.25">
      <c r="A42" s="164"/>
      <c r="B42" s="165"/>
      <c r="C42" s="166"/>
      <c r="D42" s="167"/>
      <c r="E42" s="92" t="s">
        <v>356</v>
      </c>
      <c r="G42" s="92" t="s">
        <v>235</v>
      </c>
      <c r="J42" s="185">
        <f t="shared" ref="J42:L42" si="16" xml:space="preserve"> ( (J39+J40) + J41) / 2</f>
        <v>0</v>
      </c>
      <c r="K42" s="185">
        <f t="shared" si="16"/>
        <v>0</v>
      </c>
      <c r="L42" s="185">
        <f t="shared" si="16"/>
        <v>50.07139657584478</v>
      </c>
      <c r="M42" s="185">
        <f xml:space="preserve"> ( (M39+M40) + M41) / 2</f>
        <v>100.02827895082561</v>
      </c>
      <c r="N42" s="185">
        <f t="shared" ref="N42:R42" si="17" xml:space="preserve"> ( (N39+N40) + N41) / 2</f>
        <v>97.879681652905816</v>
      </c>
      <c r="O42" s="185">
        <f t="shared" si="17"/>
        <v>95.955474836081621</v>
      </c>
      <c r="P42" s="185">
        <f t="shared" si="17"/>
        <v>94.114357949306822</v>
      </c>
      <c r="Q42" s="185">
        <f t="shared" si="17"/>
        <v>92.308566940461873</v>
      </c>
      <c r="R42" s="185">
        <f t="shared" si="17"/>
        <v>92.659930148504301</v>
      </c>
    </row>
    <row r="43" spans="1:26" s="92" customFormat="1" x14ac:dyDescent="0.25">
      <c r="A43" s="164"/>
      <c r="B43" s="165"/>
      <c r="C43" s="166"/>
      <c r="D43" s="167"/>
    </row>
    <row r="44" spans="1:26" x14ac:dyDescent="0.25">
      <c r="B44" s="61" t="s">
        <v>357</v>
      </c>
    </row>
    <row r="45" spans="1:26" s="205" customFormat="1" x14ac:dyDescent="0.25">
      <c r="A45" s="201"/>
      <c r="B45" s="202"/>
      <c r="C45" s="203"/>
      <c r="D45" s="204"/>
      <c r="E45" s="205" t="str">
        <f xml:space="preserve"> InpR!E$101</f>
        <v>WACC on RCV - CPI(H) + RPI wedge bf and additions - WR</v>
      </c>
      <c r="F45" s="205">
        <f xml:space="preserve"> InpR!F$101</f>
        <v>0</v>
      </c>
      <c r="G45" s="223" t="str">
        <f xml:space="preserve"> InpR!G$101</f>
        <v>%</v>
      </c>
      <c r="H45" s="205" t="str">
        <f xml:space="preserve"> InpR!I$101</f>
        <v>PR19 Financial model, 'Water Resources' sheet row 980</v>
      </c>
      <c r="I45" s="205" t="e">
        <f xml:space="preserve"> InpR!#REF!</f>
        <v>#REF!</v>
      </c>
      <c r="J45" s="205">
        <f xml:space="preserve"> InpR!J$101</f>
        <v>0</v>
      </c>
      <c r="K45" s="205">
        <f xml:space="preserve"> InpR!K$101</f>
        <v>0</v>
      </c>
      <c r="L45" s="205">
        <f xml:space="preserve"> InpR!L$101</f>
        <v>0</v>
      </c>
      <c r="M45" s="205">
        <f xml:space="preserve"> InpR!M$101</f>
        <v>2.2181345335277269E-2</v>
      </c>
      <c r="N45" s="205">
        <f xml:space="preserve"> InpR!N$101</f>
        <v>2.2181345335277269E-2</v>
      </c>
      <c r="O45" s="205">
        <f xml:space="preserve"> InpR!O$101</f>
        <v>2.2181345335277269E-2</v>
      </c>
      <c r="P45" s="205">
        <f xml:space="preserve"> InpR!P$101</f>
        <v>2.2181345335277269E-2</v>
      </c>
      <c r="Q45" s="205">
        <f xml:space="preserve"> InpR!Q$101</f>
        <v>2.2181345335277269E-2</v>
      </c>
      <c r="R45" s="205">
        <f xml:space="preserve"> InpR!R$101</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50.07139657584478</v>
      </c>
      <c r="M47" s="184">
        <f t="shared" si="18"/>
        <v>100.02827895082561</v>
      </c>
      <c r="N47" s="184">
        <f t="shared" si="18"/>
        <v>97.879681652905816</v>
      </c>
      <c r="O47" s="184">
        <f t="shared" si="18"/>
        <v>95.955474836081621</v>
      </c>
      <c r="P47" s="184">
        <f t="shared" si="18"/>
        <v>94.114357949306822</v>
      </c>
      <c r="Q47" s="184">
        <f t="shared" si="18"/>
        <v>92.308566940461873</v>
      </c>
      <c r="R47" s="184">
        <f t="shared" si="18"/>
        <v>92.659930148504301</v>
      </c>
      <c r="S47" s="92"/>
      <c r="T47" s="92"/>
      <c r="U47" s="92"/>
      <c r="V47" s="92"/>
      <c r="W47" s="92"/>
      <c r="X47" s="92"/>
      <c r="Y47" s="92"/>
      <c r="Z47" s="92"/>
    </row>
    <row r="48" spans="1:26" s="91" customFormat="1" x14ac:dyDescent="0.25">
      <c r="A48" s="170"/>
      <c r="B48" s="165"/>
      <c r="C48" s="166"/>
      <c r="D48" s="171"/>
      <c r="E48" s="172" t="s">
        <v>358</v>
      </c>
      <c r="G48" s="91" t="s">
        <v>235</v>
      </c>
      <c r="H48" s="184"/>
      <c r="I48" s="184"/>
      <c r="J48" s="184">
        <f t="shared" ref="J48:K48" si="19">J45*J47*J46</f>
        <v>0</v>
      </c>
      <c r="K48" s="184">
        <f t="shared" si="19"/>
        <v>0</v>
      </c>
      <c r="L48" s="184">
        <f>L45*L47*L46</f>
        <v>0</v>
      </c>
      <c r="M48" s="184">
        <f>M45*M47*M46</f>
        <v>2.218761798701709</v>
      </c>
      <c r="N48" s="184">
        <f t="shared" ref="N48:R48" si="20">N45*N47*N46</f>
        <v>2.1711030200501065</v>
      </c>
      <c r="O48" s="184">
        <f t="shared" si="20"/>
        <v>2.1284215241496343</v>
      </c>
      <c r="P48" s="184">
        <f t="shared" si="20"/>
        <v>2.0875830746814721</v>
      </c>
      <c r="Q48" s="184">
        <f t="shared" si="20"/>
        <v>2.0475282007109437</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359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5.0875744831428928</v>
      </c>
      <c r="N51" s="184">
        <f t="shared" si="21"/>
        <v>4.9782938986711729</v>
      </c>
      <c r="O51" s="184">
        <f t="shared" si="21"/>
        <v>4.8804261196366365</v>
      </c>
      <c r="P51" s="184">
        <f t="shared" si="21"/>
        <v>4.7867844075939479</v>
      </c>
      <c r="Q51" s="184">
        <f t="shared" si="21"/>
        <v>4.6949394178085608</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2.218761798701709</v>
      </c>
      <c r="N52" s="184">
        <f t="shared" si="22"/>
        <v>2.1711030200501065</v>
      </c>
      <c r="O52" s="184">
        <f t="shared" si="22"/>
        <v>2.1284215241496343</v>
      </c>
      <c r="P52" s="184">
        <f t="shared" si="22"/>
        <v>2.0875830746814721</v>
      </c>
      <c r="Q52" s="184">
        <f t="shared" si="22"/>
        <v>2.0475282007109437</v>
      </c>
      <c r="R52" s="184">
        <f t="shared" si="22"/>
        <v>0</v>
      </c>
      <c r="S52" s="92"/>
      <c r="T52" s="92"/>
      <c r="U52" s="92"/>
      <c r="V52" s="92"/>
      <c r="W52" s="92"/>
      <c r="X52" s="92"/>
      <c r="Y52" s="92"/>
      <c r="Z52" s="92"/>
    </row>
    <row r="53" spans="1:26" s="91" customFormat="1" x14ac:dyDescent="0.25">
      <c r="A53" s="170"/>
      <c r="B53" s="165"/>
      <c r="C53" s="166"/>
      <c r="D53" s="171"/>
      <c r="E53" s="172" t="s">
        <v>360</v>
      </c>
      <c r="G53" s="91" t="str">
        <f xml:space="preserve"> G$48</f>
        <v>£m</v>
      </c>
      <c r="H53" s="184">
        <f>SUM(J53:R53)</f>
        <v>35.081415945147079</v>
      </c>
      <c r="I53" s="184"/>
      <c r="J53" s="184">
        <f t="shared" ref="J53:R53" si="23">SUM(J51:J52)</f>
        <v>0</v>
      </c>
      <c r="K53" s="184">
        <f t="shared" si="23"/>
        <v>0</v>
      </c>
      <c r="L53" s="184">
        <f>SUM(L51:L52)</f>
        <v>0</v>
      </c>
      <c r="M53" s="185">
        <f t="shared" si="23"/>
        <v>7.3063362818446018</v>
      </c>
      <c r="N53" s="185">
        <f t="shared" si="23"/>
        <v>7.1493969187212798</v>
      </c>
      <c r="O53" s="184">
        <f t="shared" si="23"/>
        <v>7.0088476437862708</v>
      </c>
      <c r="P53" s="184">
        <f t="shared" si="23"/>
        <v>6.8743674822754199</v>
      </c>
      <c r="Q53" s="184">
        <f t="shared" si="23"/>
        <v>6.7424676185195045</v>
      </c>
      <c r="R53" s="184">
        <f t="shared" si="23"/>
        <v>0</v>
      </c>
      <c r="S53" s="92"/>
      <c r="T53" s="92"/>
      <c r="U53" s="92"/>
      <c r="V53" s="92"/>
      <c r="W53" s="92"/>
      <c r="X53" s="92"/>
      <c r="Y53" s="92"/>
      <c r="Z53" s="92"/>
    </row>
    <row r="55" spans="1:26" ht="12.9" x14ac:dyDescent="0.25">
      <c r="A55" s="285" t="s">
        <v>361</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362</v>
      </c>
      <c r="M57" s="177"/>
      <c r="N57" s="177"/>
      <c r="O57" s="177"/>
      <c r="P57" s="177"/>
      <c r="Q57" s="177"/>
    </row>
    <row r="58" spans="1:26" x14ac:dyDescent="0.25">
      <c r="C58" s="110" t="s">
        <v>363</v>
      </c>
      <c r="M58" s="177"/>
      <c r="N58" s="177"/>
      <c r="O58" s="177"/>
      <c r="P58" s="177"/>
      <c r="Q58" s="177"/>
    </row>
    <row r="59" spans="1:26" x14ac:dyDescent="0.25">
      <c r="C59" s="110" t="s">
        <v>364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365</v>
      </c>
      <c r="G61" s="91" t="s">
        <v>235</v>
      </c>
      <c r="J61" s="184">
        <f t="shared" ref="J61:R61" si="24" xml:space="preserve"> J53</f>
        <v>0</v>
      </c>
      <c r="K61" s="184">
        <f t="shared" si="24"/>
        <v>0</v>
      </c>
      <c r="L61" s="184">
        <f t="shared" si="24"/>
        <v>0</v>
      </c>
      <c r="M61" s="184">
        <f t="shared" si="24"/>
        <v>7.3063362818446018</v>
      </c>
      <c r="N61" s="184">
        <f t="shared" si="24"/>
        <v>7.1493969187212798</v>
      </c>
      <c r="O61" s="184">
        <f t="shared" si="24"/>
        <v>7.0088476437862708</v>
      </c>
      <c r="P61" s="184">
        <f t="shared" si="24"/>
        <v>6.8743674822754199</v>
      </c>
      <c r="Q61" s="184">
        <f t="shared" si="24"/>
        <v>6.7424676185195045</v>
      </c>
      <c r="R61" s="184">
        <f t="shared" si="24"/>
        <v>0</v>
      </c>
      <c r="S61" s="92"/>
      <c r="T61" s="92"/>
      <c r="U61" s="92"/>
      <c r="V61" s="92"/>
      <c r="W61" s="92"/>
      <c r="X61" s="92"/>
      <c r="Y61" s="92"/>
      <c r="Z61" s="92"/>
    </row>
    <row r="62" spans="1:26" x14ac:dyDescent="0.25">
      <c r="L62" s="247"/>
      <c r="M62" s="282"/>
      <c r="N62" s="282"/>
      <c r="O62" s="282"/>
      <c r="P62" s="282"/>
      <c r="Q62" s="282"/>
      <c r="R62" s="247"/>
    </row>
    <row r="63" spans="1:26" ht="12.9" x14ac:dyDescent="0.25">
      <c r="A63" s="285" t="s">
        <v>366</v>
      </c>
      <c r="B63" s="286"/>
      <c r="C63" s="287"/>
      <c r="D63" s="287"/>
      <c r="E63" s="287"/>
      <c r="F63" s="287"/>
      <c r="G63" s="287"/>
      <c r="H63" s="287"/>
      <c r="I63" s="287"/>
      <c r="J63" s="287"/>
      <c r="K63" s="287"/>
      <c r="L63" s="287"/>
      <c r="M63" s="287"/>
      <c r="N63" s="287"/>
      <c r="O63" s="287"/>
      <c r="P63" s="287"/>
      <c r="Q63" s="287"/>
      <c r="R63" s="287"/>
    </row>
    <row r="65" spans="1:16383" x14ac:dyDescent="0.25">
      <c r="C65" s="110" t="s">
        <v>367</v>
      </c>
    </row>
    <row r="67" spans="1:16383" x14ac:dyDescent="0.25">
      <c r="B67" s="61" t="s">
        <v>368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x14ac:dyDescent="0.25">
      <c r="A70" s="173"/>
      <c r="B70" s="174"/>
      <c r="C70" s="175"/>
      <c r="D70" s="176"/>
      <c r="E70" s="172" t="s">
        <v>369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4.2140370430180152E-2</v>
      </c>
      <c r="Q70" s="172">
        <f t="shared" si="26"/>
        <v>3.6767846700548112E-2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100.14279315168956</v>
      </c>
      <c r="N73" s="241">
        <f t="shared" si="27"/>
        <v>97.127705358488939</v>
      </c>
      <c r="O73" s="241">
        <f t="shared" si="27"/>
        <v>96.101057737193983</v>
      </c>
      <c r="P73" s="241">
        <f t="shared" si="27"/>
        <v>96.9742896636957</v>
      </c>
      <c r="Q73" s="241">
        <f t="shared" si="27"/>
        <v>96.048205373571989</v>
      </c>
      <c r="R73" s="241">
        <f t="shared" si="27"/>
        <v>94.640538387805577</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4.2140370430180152E-2</v>
      </c>
      <c r="Q74" s="172">
        <f t="shared" si="28"/>
        <v>3.6767846700548112E-2</v>
      </c>
      <c r="R74" s="172">
        <f t="shared" si="28"/>
        <v>1.999999999999913E-2</v>
      </c>
      <c r="S74" s="177"/>
      <c r="T74" s="177"/>
      <c r="U74" s="177"/>
      <c r="V74" s="177"/>
      <c r="W74" s="177"/>
      <c r="X74" s="177"/>
      <c r="Y74" s="177"/>
      <c r="Z74" s="177"/>
    </row>
    <row r="75" spans="1:16383" x14ac:dyDescent="0.25">
      <c r="E75" s="7" t="s">
        <v>371</v>
      </c>
      <c r="G75" s="162" t="s">
        <v>235</v>
      </c>
      <c r="J75" s="184">
        <f t="shared" ref="J75:L75" si="29">J73*J74</f>
        <v>0</v>
      </c>
      <c r="K75" s="184">
        <f t="shared" si="29"/>
        <v>0</v>
      </c>
      <c r="L75" s="184">
        <f t="shared" si="29"/>
        <v>0</v>
      </c>
      <c r="M75" s="184">
        <f>M73*M74</f>
        <v>2.0538665268551961</v>
      </c>
      <c r="N75" s="184">
        <f t="shared" ref="N75:R75" si="30">N73*N74</f>
        <v>3.9887274457976591</v>
      </c>
      <c r="O75" s="184">
        <f t="shared" si="30"/>
        <v>5.93417970356328</v>
      </c>
      <c r="P75" s="184">
        <f t="shared" si="30"/>
        <v>4.0865324886317271</v>
      </c>
      <c r="Q75" s="184">
        <f t="shared" si="30"/>
        <v>3.5314856910382564</v>
      </c>
      <c r="R75" s="184">
        <f t="shared" si="30"/>
        <v>1.8928107677560291</v>
      </c>
    </row>
    <row r="77" spans="1:16383" s="205" customFormat="1" x14ac:dyDescent="0.25">
      <c r="A77" s="201"/>
      <c r="B77" s="202"/>
      <c r="C77" s="203"/>
      <c r="D77" s="204"/>
      <c r="E77" s="37" t="str">
        <f xml:space="preserve"> InpR!E$94</f>
        <v>Run-off rate - CPI(H) + RPI wedge - active - WR</v>
      </c>
      <c r="F77" s="205">
        <f xml:space="preserve"> InpR!F$94</f>
        <v>0</v>
      </c>
      <c r="G77" s="223" t="str">
        <f xml:space="preserve"> InpR!G$94</f>
        <v>%</v>
      </c>
      <c r="H77" s="205" t="str">
        <f xml:space="preserve"> InpR!I$94</f>
        <v>PR19 Financial model, 'F_OutputsMaster' sheet row 953, PR19FM2090POST</v>
      </c>
      <c r="I77" s="205" t="e">
        <f xml:space="preserve"> InpR!#REF!</f>
        <v>#REF!</v>
      </c>
      <c r="J77" s="205">
        <f xml:space="preserve"> InpR!J$94</f>
        <v>0</v>
      </c>
      <c r="K77" s="205">
        <f xml:space="preserve"> InpR!K$94</f>
        <v>0</v>
      </c>
      <c r="L77" s="205">
        <f xml:space="preserve"> InpR!L$94</f>
        <v>0</v>
      </c>
      <c r="M77" s="205">
        <f xml:space="preserve"> InpR!M$94</f>
        <v>4.9599999999999998E-2</v>
      </c>
      <c r="N77" s="205">
        <f xml:space="preserve"> InpR!N$94</f>
        <v>4.9599999999999998E-2</v>
      </c>
      <c r="O77" s="205">
        <f xml:space="preserve"> InpR!O$94</f>
        <v>4.9599999999999998E-2</v>
      </c>
      <c r="P77" s="205">
        <f xml:space="preserve"> InpR!P$94</f>
        <v>4.9599999999999998E-2</v>
      </c>
      <c r="Q77" s="205">
        <f xml:space="preserve"> InpR!Q$94</f>
        <v>4.9599999999999998E-2</v>
      </c>
      <c r="R77" s="205">
        <f xml:space="preserve"> InpR!R$94</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100.14279315168956</v>
      </c>
      <c r="N78" s="241">
        <f t="shared" si="31"/>
        <v>97.127705358488939</v>
      </c>
      <c r="O78" s="241">
        <f t="shared" si="31"/>
        <v>96.101057737193983</v>
      </c>
      <c r="P78" s="241">
        <f t="shared" si="31"/>
        <v>96.9742896636957</v>
      </c>
      <c r="Q78" s="241">
        <f t="shared" si="31"/>
        <v>96.048205373571989</v>
      </c>
      <c r="R78" s="241">
        <f t="shared" si="31"/>
        <v>94.640538387805577</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2.0538665268551961</v>
      </c>
      <c r="N79" s="184">
        <f t="shared" si="32"/>
        <v>3.9887274457976591</v>
      </c>
      <c r="O79" s="184">
        <f t="shared" si="32"/>
        <v>5.93417970356328</v>
      </c>
      <c r="P79" s="184">
        <f t="shared" si="32"/>
        <v>4.0865324886317271</v>
      </c>
      <c r="Q79" s="184">
        <f t="shared" si="32"/>
        <v>3.5314856910382564</v>
      </c>
      <c r="R79" s="184">
        <f t="shared" si="32"/>
        <v>1.8928107677560291</v>
      </c>
    </row>
    <row r="80" spans="1:16383" x14ac:dyDescent="0.25">
      <c r="E80" s="7" t="s">
        <v>372</v>
      </c>
      <c r="F80" s="244"/>
      <c r="G80" s="244" t="s">
        <v>235</v>
      </c>
      <c r="H80" s="244"/>
      <c r="I80" s="244"/>
      <c r="J80" s="184">
        <f t="shared" ref="J80:R80" si="33" xml:space="preserve"> (J78+J79) * J77</f>
        <v>0</v>
      </c>
      <c r="K80" s="184">
        <f t="shared" si="33"/>
        <v>0</v>
      </c>
      <c r="L80" s="184">
        <f t="shared" si="33"/>
        <v>0</v>
      </c>
      <c r="M80" s="184">
        <f t="shared" si="33"/>
        <v>5.0689543200558198</v>
      </c>
      <c r="N80" s="184">
        <f xml:space="preserve"> (N78+N79) * N77</f>
        <v>5.0153750670926156</v>
      </c>
      <c r="O80" s="184">
        <f t="shared" si="33"/>
        <v>5.0609477770615596</v>
      </c>
      <c r="P80" s="184">
        <f t="shared" si="33"/>
        <v>5.0126167787554401</v>
      </c>
      <c r="Q80" s="184">
        <f t="shared" si="33"/>
        <v>4.9391526768046683</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InpR!$E$87</f>
        <v>RCV - CPI(H) + RPI wedge initial balance - nominal - WR</v>
      </c>
      <c r="F82" s="250">
        <f>InpR!$F$87</f>
        <v>100.14279315168956</v>
      </c>
      <c r="G82" s="200" t="str">
        <f>InpR!$G$87</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373</v>
      </c>
      <c r="G85" s="162" t="s">
        <v>235</v>
      </c>
      <c r="J85" s="242">
        <f t="shared" ref="J85:R85" si="34" xml:space="preserve"> I88</f>
        <v>0</v>
      </c>
      <c r="K85" s="242">
        <f t="shared" si="34"/>
        <v>0</v>
      </c>
      <c r="L85" s="242">
        <f t="shared" si="34"/>
        <v>0</v>
      </c>
      <c r="M85" s="242">
        <f t="shared" si="34"/>
        <v>100.14279315168956</v>
      </c>
      <c r="N85" s="242">
        <f t="shared" si="34"/>
        <v>97.127705358488939</v>
      </c>
      <c r="O85" s="242">
        <f t="shared" si="34"/>
        <v>96.101057737193983</v>
      </c>
      <c r="P85" s="242">
        <f t="shared" si="34"/>
        <v>96.9742896636957</v>
      </c>
      <c r="Q85" s="242">
        <f t="shared" si="34"/>
        <v>96.048205373571989</v>
      </c>
      <c r="R85" s="242">
        <f t="shared" si="34"/>
        <v>94.640538387805577</v>
      </c>
    </row>
    <row r="86" spans="1:18" x14ac:dyDescent="0.25">
      <c r="A86" s="47"/>
      <c r="B86" s="51"/>
      <c r="C86" s="111"/>
      <c r="D86" s="56" t="s">
        <v>353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2.0538665268551961</v>
      </c>
      <c r="N86" s="242">
        <f t="shared" si="35"/>
        <v>3.9887274457976591</v>
      </c>
      <c r="O86" s="242">
        <f t="shared" si="35"/>
        <v>5.93417970356328</v>
      </c>
      <c r="P86" s="242">
        <f t="shared" si="35"/>
        <v>4.0865324886317271</v>
      </c>
      <c r="Q86" s="242">
        <f t="shared" si="35"/>
        <v>3.5314856910382564</v>
      </c>
      <c r="R86" s="242">
        <f t="shared" si="35"/>
        <v>1.8928107677560291</v>
      </c>
    </row>
    <row r="87" spans="1:18" x14ac:dyDescent="0.25">
      <c r="A87" s="47"/>
      <c r="B87" s="51"/>
      <c r="C87" s="111"/>
      <c r="D87" s="56" t="s">
        <v>354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5.0689543200558198</v>
      </c>
      <c r="N87" s="242">
        <f t="shared" si="36"/>
        <v>5.0153750670926156</v>
      </c>
      <c r="O87" s="242">
        <f t="shared" si="36"/>
        <v>5.0609477770615596</v>
      </c>
      <c r="P87" s="242">
        <f t="shared" si="36"/>
        <v>5.0126167787554401</v>
      </c>
      <c r="Q87" s="242">
        <f t="shared" si="36"/>
        <v>4.9391526768046683</v>
      </c>
      <c r="R87" s="242">
        <f t="shared" si="36"/>
        <v>0</v>
      </c>
    </row>
    <row r="88" spans="1:18" s="138" customFormat="1" x14ac:dyDescent="0.25">
      <c r="A88" s="134"/>
      <c r="B88" s="135"/>
      <c r="C88" s="136"/>
      <c r="D88" s="137"/>
      <c r="E88" s="138" t="s">
        <v>374</v>
      </c>
      <c r="G88" s="163" t="s">
        <v>235</v>
      </c>
      <c r="J88" s="243">
        <f t="shared" ref="J88:R88" si="37" xml:space="preserve"> IF( J83 = 1, $F82, J85 + J86 - J87)</f>
        <v>0</v>
      </c>
      <c r="K88" s="243">
        <f t="shared" si="37"/>
        <v>0</v>
      </c>
      <c r="L88" s="243">
        <f t="shared" si="37"/>
        <v>100.14279315168956</v>
      </c>
      <c r="M88" s="243">
        <f t="shared" si="37"/>
        <v>97.127705358488939</v>
      </c>
      <c r="N88" s="243">
        <f t="shared" si="37"/>
        <v>96.101057737193983</v>
      </c>
      <c r="O88" s="243">
        <f t="shared" si="37"/>
        <v>96.9742896636957</v>
      </c>
      <c r="P88" s="243">
        <f t="shared" si="37"/>
        <v>96.048205373571989</v>
      </c>
      <c r="Q88" s="243">
        <f t="shared" si="37"/>
        <v>94.640538387805577</v>
      </c>
      <c r="R88" s="243">
        <f t="shared" si="37"/>
        <v>96.533349155561609</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100.14279315168956</v>
      </c>
      <c r="N90" s="185">
        <f t="shared" si="38"/>
        <v>97.127705358488939</v>
      </c>
      <c r="O90" s="185">
        <f t="shared" si="38"/>
        <v>96.101057737193983</v>
      </c>
      <c r="P90" s="185">
        <f t="shared" si="38"/>
        <v>96.9742896636957</v>
      </c>
      <c r="Q90" s="185">
        <f t="shared" si="38"/>
        <v>96.048205373571989</v>
      </c>
      <c r="R90" s="185">
        <f t="shared" si="38"/>
        <v>94.640538387805577</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2.0538665268551961</v>
      </c>
      <c r="N91" s="242">
        <f t="shared" si="39"/>
        <v>3.9887274457976591</v>
      </c>
      <c r="O91" s="242">
        <f t="shared" si="39"/>
        <v>5.93417970356328</v>
      </c>
      <c r="P91" s="242">
        <f t="shared" si="39"/>
        <v>4.0865324886317271</v>
      </c>
      <c r="Q91" s="242">
        <f t="shared" si="39"/>
        <v>3.5314856910382564</v>
      </c>
      <c r="R91" s="242">
        <f t="shared" si="39"/>
        <v>1.8928107677560291</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100.14279315168956</v>
      </c>
      <c r="M92" s="185">
        <f t="shared" si="40"/>
        <v>97.127705358488939</v>
      </c>
      <c r="N92" s="185">
        <f t="shared" si="40"/>
        <v>96.101057737193983</v>
      </c>
      <c r="O92" s="185">
        <f t="shared" si="40"/>
        <v>96.9742896636957</v>
      </c>
      <c r="P92" s="185">
        <f t="shared" si="40"/>
        <v>96.048205373571989</v>
      </c>
      <c r="Q92" s="185">
        <f t="shared" si="40"/>
        <v>94.640538387805577</v>
      </c>
      <c r="R92" s="185">
        <f t="shared" si="40"/>
        <v>96.533349155561609</v>
      </c>
    </row>
    <row r="93" spans="1:18" x14ac:dyDescent="0.25">
      <c r="A93" s="49"/>
      <c r="D93" s="57"/>
      <c r="E93" s="7" t="s">
        <v>375</v>
      </c>
      <c r="G93" s="92" t="s">
        <v>235</v>
      </c>
      <c r="H93" s="244"/>
      <c r="I93" s="244"/>
      <c r="J93" s="185">
        <f t="shared" ref="J93:K93" si="41" xml:space="preserve"> ( (J90+J91) + J92) / 2</f>
        <v>0</v>
      </c>
      <c r="K93" s="185">
        <f t="shared" si="41"/>
        <v>0</v>
      </c>
      <c r="L93" s="185">
        <f xml:space="preserve"> ( (L90+L91) + L92) / 2</f>
        <v>50.07139657584478</v>
      </c>
      <c r="M93" s="185">
        <f xml:space="preserve"> ( (M90+M91) + M92) / 2</f>
        <v>99.662182518516857</v>
      </c>
      <c r="N93" s="185">
        <f t="shared" ref="N93:P93" si="42" xml:space="preserve"> ( (N90+N91) + N92) / 2</f>
        <v>98.608745270740286</v>
      </c>
      <c r="O93" s="185">
        <f t="shared" si="42"/>
        <v>99.504763552226478</v>
      </c>
      <c r="P93" s="185">
        <f t="shared" si="42"/>
        <v>98.554513762949711</v>
      </c>
      <c r="Q93" s="185">
        <f xml:space="preserve"> ( (Q90+Q91) + Q92) / 2</f>
        <v>97.110114726207911</v>
      </c>
      <c r="R93" s="185">
        <f t="shared" ref="R93" si="43" xml:space="preserve"> ( (R90+R91) + R92) / 2</f>
        <v>96.533349155561609</v>
      </c>
    </row>
    <row r="94" spans="1:18" x14ac:dyDescent="0.25">
      <c r="A94" s="49"/>
      <c r="D94" s="57"/>
      <c r="J94" s="92"/>
      <c r="K94" s="92"/>
      <c r="L94" s="92"/>
      <c r="M94" s="92"/>
      <c r="N94" s="92"/>
      <c r="O94" s="92"/>
      <c r="P94" s="92"/>
      <c r="Q94" s="92"/>
      <c r="R94" s="92"/>
    </row>
    <row r="95" spans="1:18" x14ac:dyDescent="0.25">
      <c r="B95" s="61" t="s">
        <v>376</v>
      </c>
    </row>
    <row r="96" spans="1:18" s="205" customFormat="1" x14ac:dyDescent="0.25">
      <c r="A96" s="201"/>
      <c r="B96" s="202"/>
      <c r="C96" s="203"/>
      <c r="D96" s="204"/>
      <c r="E96" s="205" t="str">
        <f xml:space="preserve"> InpR!E$101</f>
        <v>WACC on RCV - CPI(H) + RPI wedge bf and additions - WR</v>
      </c>
      <c r="F96" s="205">
        <f xml:space="preserve"> InpR!F$101</f>
        <v>0</v>
      </c>
      <c r="G96" s="223" t="str">
        <f xml:space="preserve"> InpR!G$101</f>
        <v>%</v>
      </c>
      <c r="H96" s="205" t="str">
        <f xml:space="preserve"> InpR!I$101</f>
        <v>PR19 Financial model, 'Water Resources' sheet row 980</v>
      </c>
      <c r="I96" s="205" t="e">
        <f xml:space="preserve"> InpR!#REF!</f>
        <v>#REF!</v>
      </c>
      <c r="J96" s="205">
        <f xml:space="preserve"> InpR!J$101</f>
        <v>0</v>
      </c>
      <c r="K96" s="205">
        <f xml:space="preserve"> InpR!K$101</f>
        <v>0</v>
      </c>
      <c r="L96" s="205">
        <f xml:space="preserve"> InpR!L$101</f>
        <v>0</v>
      </c>
      <c r="M96" s="205">
        <f xml:space="preserve"> InpR!M$101</f>
        <v>2.2181345335277269E-2</v>
      </c>
      <c r="N96" s="205">
        <f xml:space="preserve"> InpR!N$101</f>
        <v>2.2181345335277269E-2</v>
      </c>
      <c r="O96" s="205">
        <f xml:space="preserve"> InpR!O$101</f>
        <v>2.2181345335277269E-2</v>
      </c>
      <c r="P96" s="205">
        <f xml:space="preserve"> InpR!P$101</f>
        <v>2.2181345335277269E-2</v>
      </c>
      <c r="Q96" s="205">
        <f xml:space="preserve"> InpR!Q$101</f>
        <v>2.2181345335277269E-2</v>
      </c>
      <c r="R96" s="205">
        <f xml:space="preserve"> InpR!R$101</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50.07139657584478</v>
      </c>
      <c r="M98" s="184">
        <f t="shared" si="44"/>
        <v>99.662182518516857</v>
      </c>
      <c r="N98" s="184">
        <f t="shared" si="44"/>
        <v>98.608745270740286</v>
      </c>
      <c r="O98" s="184">
        <f t="shared" si="44"/>
        <v>99.504763552226478</v>
      </c>
      <c r="P98" s="184">
        <f t="shared" si="44"/>
        <v>98.554513762949711</v>
      </c>
      <c r="Q98" s="184">
        <f t="shared" si="44"/>
        <v>97.110114726207911</v>
      </c>
      <c r="R98" s="184">
        <f t="shared" si="44"/>
        <v>96.533349155561609</v>
      </c>
    </row>
    <row r="99" spans="1:26" x14ac:dyDescent="0.25">
      <c r="E99" s="7" t="s">
        <v>377</v>
      </c>
      <c r="F99" s="244"/>
      <c r="G99" s="184" t="s">
        <v>235</v>
      </c>
      <c r="H99" s="244"/>
      <c r="I99" s="244"/>
      <c r="J99" s="244">
        <f t="shared" ref="J99:K99" si="45">J96*J97*J98</f>
        <v>0</v>
      </c>
      <c r="K99" s="244">
        <f t="shared" si="45"/>
        <v>0</v>
      </c>
      <c r="L99" s="244">
        <f>L96*L97*L98</f>
        <v>0</v>
      </c>
      <c r="M99" s="244">
        <f>M96*M97*M98</f>
        <v>2.2106412873106556</v>
      </c>
      <c r="N99" s="244">
        <f t="shared" ref="N99:R99" si="46">N96*N97*N98</f>
        <v>2.1872746319286795</v>
      </c>
      <c r="O99" s="244">
        <f t="shared" si="46"/>
        <v>2.2071495228570464</v>
      </c>
      <c r="P99" s="244">
        <f t="shared" si="46"/>
        <v>2.186071704126324</v>
      </c>
      <c r="Q99" s="244">
        <f t="shared" si="46"/>
        <v>2.1540329902904123</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100.14279315168956</v>
      </c>
      <c r="M102" s="185">
        <f t="shared" si="47"/>
        <v>97.127705358488939</v>
      </c>
      <c r="N102" s="185">
        <f t="shared" si="47"/>
        <v>96.101057737193983</v>
      </c>
      <c r="O102" s="185">
        <f t="shared" si="47"/>
        <v>96.9742896636957</v>
      </c>
      <c r="P102" s="185">
        <f t="shared" si="47"/>
        <v>96.048205373571989</v>
      </c>
      <c r="Q102" s="185">
        <f t="shared" si="47"/>
        <v>94.640538387805577</v>
      </c>
      <c r="R102" s="185">
        <f t="shared" si="47"/>
        <v>96.533349155561609</v>
      </c>
    </row>
    <row r="103" spans="1:26" x14ac:dyDescent="0.25">
      <c r="C103" s="278"/>
      <c r="E103" s="7" t="s">
        <v>378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94.640538387805577</v>
      </c>
      <c r="R103" s="184">
        <f t="shared" si="48"/>
        <v>0</v>
      </c>
    </row>
    <row r="104" spans="1:26" x14ac:dyDescent="0.25">
      <c r="J104" s="91"/>
      <c r="K104" s="91"/>
      <c r="L104" s="91"/>
      <c r="M104" s="91"/>
      <c r="N104" s="91"/>
      <c r="O104" s="91"/>
      <c r="P104" s="91"/>
      <c r="Q104" s="91"/>
      <c r="R104" s="91"/>
    </row>
    <row r="105" spans="1:26" x14ac:dyDescent="0.25">
      <c r="B105" s="61" t="s">
        <v>379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5.0689543200558198</v>
      </c>
      <c r="N106" s="184">
        <f t="shared" si="49"/>
        <v>5.0153750670926156</v>
      </c>
      <c r="O106" s="184">
        <f t="shared" si="49"/>
        <v>5.0609477770615596</v>
      </c>
      <c r="P106" s="184">
        <f t="shared" si="49"/>
        <v>5.0126167787554401</v>
      </c>
      <c r="Q106" s="184">
        <f t="shared" si="49"/>
        <v>4.9391526768046683</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2.2106412873106556</v>
      </c>
      <c r="N107" s="184">
        <f t="shared" si="50"/>
        <v>2.1872746319286795</v>
      </c>
      <c r="O107" s="184">
        <f t="shared" si="50"/>
        <v>2.2071495228570464</v>
      </c>
      <c r="P107" s="184">
        <f t="shared" si="50"/>
        <v>2.186071704126324</v>
      </c>
      <c r="Q107" s="184">
        <f t="shared" si="50"/>
        <v>2.1540329902904123</v>
      </c>
      <c r="R107" s="184">
        <f t="shared" si="50"/>
        <v>0</v>
      </c>
      <c r="S107" s="92"/>
      <c r="T107" s="92"/>
      <c r="U107" s="92"/>
      <c r="V107" s="92"/>
      <c r="W107" s="92"/>
      <c r="X107" s="92"/>
      <c r="Y107" s="92"/>
      <c r="Z107" s="92"/>
    </row>
    <row r="108" spans="1:26" x14ac:dyDescent="0.25">
      <c r="E108" s="7" t="s">
        <v>380</v>
      </c>
      <c r="F108" s="244"/>
      <c r="G108" s="184" t="str">
        <f t="shared" si="50"/>
        <v>£m</v>
      </c>
      <c r="H108" s="244">
        <f>SUM(J108:R108)</f>
        <v>36.042216756283217</v>
      </c>
      <c r="I108" s="244"/>
      <c r="J108" s="244">
        <f t="shared" ref="J108:R108" si="51">SUM(J106:J107)</f>
        <v>0</v>
      </c>
      <c r="K108" s="244">
        <f t="shared" si="51"/>
        <v>0</v>
      </c>
      <c r="L108" s="244">
        <f t="shared" si="51"/>
        <v>0</v>
      </c>
      <c r="M108" s="244">
        <f t="shared" si="51"/>
        <v>7.2795956073664758</v>
      </c>
      <c r="N108" s="244">
        <f t="shared" si="51"/>
        <v>7.2026496990212951</v>
      </c>
      <c r="O108" s="244">
        <f t="shared" si="51"/>
        <v>7.2680972999186064</v>
      </c>
      <c r="P108" s="244">
        <f t="shared" si="51"/>
        <v>7.1986884828817637</v>
      </c>
      <c r="Q108" s="244">
        <f t="shared" si="51"/>
        <v>7.0931856670950806</v>
      </c>
      <c r="R108" s="244">
        <f t="shared" si="51"/>
        <v>0</v>
      </c>
    </row>
    <row r="110" spans="1:26" ht="12.9" x14ac:dyDescent="0.25">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7.3063362818446018</v>
      </c>
      <c r="N114" s="184">
        <f t="shared" si="52"/>
        <v>7.1493969187212798</v>
      </c>
      <c r="O114" s="184">
        <f t="shared" si="52"/>
        <v>7.0088476437862708</v>
      </c>
      <c r="P114" s="184">
        <f t="shared" si="52"/>
        <v>6.8743674822754199</v>
      </c>
      <c r="Q114" s="184">
        <f t="shared" si="52"/>
        <v>6.7424676185195045</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36.042216756283217</v>
      </c>
      <c r="I115" s="184">
        <f t="shared" si="53"/>
        <v>0</v>
      </c>
      <c r="J115" s="184">
        <f t="shared" si="53"/>
        <v>0</v>
      </c>
      <c r="K115" s="184">
        <f t="shared" si="53"/>
        <v>0</v>
      </c>
      <c r="L115" s="184">
        <f t="shared" si="53"/>
        <v>0</v>
      </c>
      <c r="M115" s="184">
        <f t="shared" si="53"/>
        <v>7.2795956073664758</v>
      </c>
      <c r="N115" s="184">
        <f t="shared" si="53"/>
        <v>7.2026496990212951</v>
      </c>
      <c r="O115" s="184">
        <f t="shared" si="53"/>
        <v>7.2680972999186064</v>
      </c>
      <c r="P115" s="184">
        <f t="shared" si="53"/>
        <v>7.1986884828817637</v>
      </c>
      <c r="Q115" s="184">
        <f t="shared" si="53"/>
        <v>7.0931856670950806</v>
      </c>
      <c r="R115" s="184">
        <f t="shared" si="53"/>
        <v>0</v>
      </c>
    </row>
    <row r="116" spans="1:26" s="184" customFormat="1" x14ac:dyDescent="0.25">
      <c r="A116" s="180"/>
      <c r="B116" s="181"/>
      <c r="C116" s="182"/>
      <c r="D116" s="183"/>
      <c r="E116" s="7" t="s">
        <v>383</v>
      </c>
      <c r="G116" s="184" t="str">
        <f t="shared" ref="G116" si="54" xml:space="preserve"> G$99</f>
        <v>£m</v>
      </c>
      <c r="H116" s="244">
        <f>SUM(J116:R116)</f>
        <v>0.96080081113614479</v>
      </c>
      <c r="M116" s="184">
        <f>M115-M114</f>
        <v>-2.6740674478126003E-2</v>
      </c>
      <c r="N116" s="184">
        <f t="shared" ref="N116:Q116" si="55">N115-N114</f>
        <v>5.3252780300015345E-2</v>
      </c>
      <c r="O116" s="184">
        <f t="shared" si="55"/>
        <v>0.25924965613233564</v>
      </c>
      <c r="P116" s="184">
        <f t="shared" si="55"/>
        <v>0.32432100060634372</v>
      </c>
      <c r="Q116" s="184">
        <f t="shared" si="55"/>
        <v>0.35071804857557609</v>
      </c>
      <c r="S116" s="185"/>
      <c r="T116" s="185"/>
      <c r="U116" s="185"/>
      <c r="V116" s="185"/>
      <c r="W116" s="185"/>
      <c r="X116" s="185"/>
      <c r="Y116" s="185"/>
      <c r="Z116" s="185"/>
    </row>
    <row r="118" spans="1:26" ht="12.9" x14ac:dyDescent="0.25">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385</v>
      </c>
    </row>
    <row r="121" spans="1:26" x14ac:dyDescent="0.25">
      <c r="C121" s="110" t="s">
        <v>386</v>
      </c>
    </row>
    <row r="122" spans="1:26" x14ac:dyDescent="0.25">
      <c r="C122" s="110" t="s">
        <v>387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388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100.14279315168956</v>
      </c>
      <c r="N128" s="245">
        <f t="shared" si="58"/>
        <v>97.484491709254158</v>
      </c>
      <c r="O128" s="245">
        <f t="shared" si="58"/>
        <v>95.390534703570225</v>
      </c>
      <c r="P128" s="245">
        <f t="shared" si="58"/>
        <v>93.515261776263301</v>
      </c>
      <c r="Q128" s="245">
        <f t="shared" si="58"/>
        <v>91.720965745509844</v>
      </c>
      <c r="R128" s="245">
        <f t="shared" si="58"/>
        <v>89.961097231557588</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389</v>
      </c>
      <c r="G130" s="91" t="s">
        <v>235</v>
      </c>
      <c r="J130" s="246">
        <f>J128*J129</f>
        <v>0</v>
      </c>
      <c r="K130" s="246">
        <f t="shared" ref="K130:L130" si="60">K128*K129</f>
        <v>0</v>
      </c>
      <c r="L130" s="246">
        <f t="shared" si="60"/>
        <v>0</v>
      </c>
      <c r="M130" s="246">
        <f>M128*M129</f>
        <v>2.4292730407074856</v>
      </c>
      <c r="N130" s="246">
        <f t="shared" ref="N130:R130" si="61">N128*N129</f>
        <v>2.8843368929872368</v>
      </c>
      <c r="O130" s="246">
        <f t="shared" si="61"/>
        <v>3.0051531923297192</v>
      </c>
      <c r="P130" s="246">
        <f t="shared" si="61"/>
        <v>2.9924883768404906</v>
      </c>
      <c r="Q130" s="246">
        <f t="shared" si="61"/>
        <v>2.9350709038562974</v>
      </c>
      <c r="R130" s="246">
        <f t="shared" si="61"/>
        <v>2.69883291694671</v>
      </c>
    </row>
    <row r="132" spans="1:16383" s="205" customFormat="1" x14ac:dyDescent="0.25">
      <c r="A132" s="201"/>
      <c r="B132" s="202"/>
      <c r="C132" s="203"/>
      <c r="D132" s="204"/>
      <c r="E132" s="37" t="str">
        <f xml:space="preserve"> InpR!E$94</f>
        <v>Run-off rate - CPI(H) + RPI wedge - active - WR</v>
      </c>
      <c r="F132" s="205">
        <f xml:space="preserve"> InpR!F$94</f>
        <v>0</v>
      </c>
      <c r="G132" s="223" t="str">
        <f xml:space="preserve"> InpR!G$94</f>
        <v>%</v>
      </c>
      <c r="H132" s="205" t="str">
        <f xml:space="preserve"> InpR!I$94</f>
        <v>PR19 Financial model, 'F_OutputsMaster' sheet row 953, PR19FM2090POST</v>
      </c>
      <c r="I132" s="205" t="e">
        <f xml:space="preserve"> InpR!#REF!</f>
        <v>#REF!</v>
      </c>
      <c r="J132" s="205">
        <f xml:space="preserve"> InpR!J$94</f>
        <v>0</v>
      </c>
      <c r="K132" s="205">
        <f xml:space="preserve"> InpR!K$94</f>
        <v>0</v>
      </c>
      <c r="L132" s="205">
        <f xml:space="preserve"> InpR!L$94</f>
        <v>0</v>
      </c>
      <c r="M132" s="205">
        <f xml:space="preserve"> InpR!M$94</f>
        <v>4.9599999999999998E-2</v>
      </c>
      <c r="N132" s="205">
        <f xml:space="preserve"> InpR!N$94</f>
        <v>4.9599999999999998E-2</v>
      </c>
      <c r="O132" s="205">
        <f xml:space="preserve"> InpR!O$94</f>
        <v>4.9599999999999998E-2</v>
      </c>
      <c r="P132" s="205">
        <f xml:space="preserve"> InpR!P$94</f>
        <v>4.9599999999999998E-2</v>
      </c>
      <c r="Q132" s="205">
        <f xml:space="preserve"> InpR!Q$94</f>
        <v>4.9599999999999998E-2</v>
      </c>
      <c r="R132" s="205">
        <f xml:space="preserve"> InpR!R$94</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100.14279315168956</v>
      </c>
      <c r="N133" s="245">
        <f t="shared" si="62"/>
        <v>97.484491709254158</v>
      </c>
      <c r="O133" s="245">
        <f t="shared" si="62"/>
        <v>95.390534703570225</v>
      </c>
      <c r="P133" s="245">
        <f t="shared" si="62"/>
        <v>93.515261776263301</v>
      </c>
      <c r="Q133" s="245">
        <f t="shared" si="62"/>
        <v>91.720965745509844</v>
      </c>
      <c r="R133" s="245">
        <f t="shared" si="62"/>
        <v>89.961097231557588</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2.4292730407074856</v>
      </c>
      <c r="N134" s="246">
        <f t="shared" si="63"/>
        <v>2.8843368929872368</v>
      </c>
      <c r="O134" s="246">
        <f t="shared" si="63"/>
        <v>3.0051531923297192</v>
      </c>
      <c r="P134" s="246">
        <f t="shared" si="63"/>
        <v>2.9924883768404906</v>
      </c>
      <c r="Q134" s="246">
        <f t="shared" si="63"/>
        <v>2.9350709038562974</v>
      </c>
      <c r="R134" s="246">
        <f t="shared" si="63"/>
        <v>2.69883291694671</v>
      </c>
      <c r="S134" s="92"/>
      <c r="T134" s="92"/>
      <c r="U134" s="92"/>
      <c r="V134" s="92"/>
      <c r="W134" s="92"/>
      <c r="X134" s="92"/>
      <c r="Y134" s="92"/>
      <c r="Z134" s="92"/>
    </row>
    <row r="135" spans="1:16383" x14ac:dyDescent="0.25">
      <c r="C135" s="278"/>
      <c r="E135" s="7" t="s">
        <v>390</v>
      </c>
      <c r="F135" s="247"/>
      <c r="G135" s="162" t="s">
        <v>235</v>
      </c>
      <c r="H135" s="247"/>
      <c r="I135" s="247"/>
      <c r="J135" s="246">
        <f t="shared" ref="J135:R135" si="64" xml:space="preserve"> (J133+J134) * J132</f>
        <v>0</v>
      </c>
      <c r="K135" s="246">
        <f t="shared" si="64"/>
        <v>0</v>
      </c>
      <c r="L135" s="246">
        <f t="shared" si="64"/>
        <v>0</v>
      </c>
      <c r="M135" s="246">
        <f xml:space="preserve"> (M133+M134) * M132</f>
        <v>5.0875744831428928</v>
      </c>
      <c r="N135" s="246">
        <f t="shared" si="64"/>
        <v>4.9782938986711729</v>
      </c>
      <c r="O135" s="246">
        <f t="shared" si="64"/>
        <v>4.8804261196366365</v>
      </c>
      <c r="P135" s="246">
        <f t="shared" si="64"/>
        <v>4.7867844075939479</v>
      </c>
      <c r="Q135" s="246">
        <f t="shared" si="64"/>
        <v>4.6949394178085608</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InpR!$E$87</f>
        <v>RCV - CPI(H) + RPI wedge initial balance - nominal - WR</v>
      </c>
      <c r="F137" s="250">
        <f>InpR!$F$87</f>
        <v>100.14279315168956</v>
      </c>
      <c r="G137" s="200" t="str">
        <f>InpR!$G$87</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391</v>
      </c>
      <c r="G140" s="162" t="s">
        <v>235</v>
      </c>
      <c r="J140" s="242">
        <f t="shared" ref="J140:R140" si="65" xml:space="preserve"> I143</f>
        <v>0</v>
      </c>
      <c r="K140" s="242">
        <f t="shared" si="65"/>
        <v>0</v>
      </c>
      <c r="L140" s="242">
        <f t="shared" si="65"/>
        <v>0</v>
      </c>
      <c r="M140" s="242">
        <f t="shared" si="65"/>
        <v>100.14279315168956</v>
      </c>
      <c r="N140" s="242">
        <f t="shared" si="65"/>
        <v>97.484491709254158</v>
      </c>
      <c r="O140" s="242">
        <f t="shared" si="65"/>
        <v>95.390534703570225</v>
      </c>
      <c r="P140" s="242">
        <f t="shared" si="65"/>
        <v>93.515261776263301</v>
      </c>
      <c r="Q140" s="242">
        <f t="shared" si="65"/>
        <v>91.720965745509844</v>
      </c>
      <c r="R140" s="242">
        <f t="shared" si="65"/>
        <v>89.961097231557588</v>
      </c>
    </row>
    <row r="141" spans="1:16383" x14ac:dyDescent="0.25">
      <c r="A141" s="47"/>
      <c r="B141" s="51"/>
      <c r="C141" s="111"/>
      <c r="D141" s="56" t="s">
        <v>353</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2.4292730407074856</v>
      </c>
      <c r="N141" s="242">
        <f t="shared" si="66"/>
        <v>2.8843368929872368</v>
      </c>
      <c r="O141" s="242">
        <f t="shared" si="66"/>
        <v>3.0051531923297192</v>
      </c>
      <c r="P141" s="242">
        <f t="shared" si="66"/>
        <v>2.9924883768404906</v>
      </c>
      <c r="Q141" s="242">
        <f t="shared" si="66"/>
        <v>2.9350709038562974</v>
      </c>
      <c r="R141" s="242">
        <f t="shared" si="66"/>
        <v>2.69883291694671</v>
      </c>
    </row>
    <row r="142" spans="1:16383" x14ac:dyDescent="0.25">
      <c r="A142" s="47"/>
      <c r="B142" s="51"/>
      <c r="C142" s="111"/>
      <c r="D142" s="56" t="s">
        <v>354</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5.0875744831428928</v>
      </c>
      <c r="N142" s="242">
        <f t="shared" si="67"/>
        <v>4.9782938986711729</v>
      </c>
      <c r="O142" s="242">
        <f t="shared" si="67"/>
        <v>4.8804261196366365</v>
      </c>
      <c r="P142" s="242">
        <f t="shared" si="67"/>
        <v>4.7867844075939479</v>
      </c>
      <c r="Q142" s="242">
        <f t="shared" si="67"/>
        <v>4.6949394178085608</v>
      </c>
      <c r="R142" s="242">
        <f t="shared" si="67"/>
        <v>0</v>
      </c>
    </row>
    <row r="143" spans="1:16383" s="138" customFormat="1" x14ac:dyDescent="0.25">
      <c r="A143" s="134"/>
      <c r="B143" s="135"/>
      <c r="C143" s="279"/>
      <c r="D143" s="137"/>
      <c r="E143" s="138" t="s">
        <v>392</v>
      </c>
      <c r="G143" s="163" t="s">
        <v>235</v>
      </c>
      <c r="J143" s="243">
        <f t="shared" ref="J143:R143" si="68" xml:space="preserve"> IF( J138 = 1, $F137, J140 + J141 - J142)</f>
        <v>0</v>
      </c>
      <c r="K143" s="243">
        <f t="shared" si="68"/>
        <v>0</v>
      </c>
      <c r="L143" s="243">
        <f t="shared" si="68"/>
        <v>100.14279315168956</v>
      </c>
      <c r="M143" s="243">
        <f t="shared" si="68"/>
        <v>97.484491709254158</v>
      </c>
      <c r="N143" s="243">
        <f t="shared" si="68"/>
        <v>95.390534703570225</v>
      </c>
      <c r="O143" s="243">
        <f t="shared" si="68"/>
        <v>93.515261776263301</v>
      </c>
      <c r="P143" s="243">
        <f t="shared" si="68"/>
        <v>91.720965745509844</v>
      </c>
      <c r="Q143" s="243">
        <f t="shared" si="68"/>
        <v>89.961097231557588</v>
      </c>
      <c r="R143" s="243">
        <f t="shared" si="68"/>
        <v>92.659930148504301</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100.14279315168956</v>
      </c>
      <c r="N145" s="185">
        <f t="shared" si="69"/>
        <v>97.484491709254158</v>
      </c>
      <c r="O145" s="185">
        <f t="shared" si="69"/>
        <v>95.390534703570225</v>
      </c>
      <c r="P145" s="185">
        <f t="shared" si="69"/>
        <v>93.515261776263301</v>
      </c>
      <c r="Q145" s="185">
        <f t="shared" si="69"/>
        <v>91.720965745509844</v>
      </c>
      <c r="R145" s="185">
        <f t="shared" si="69"/>
        <v>89.961097231557588</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2.4292730407074856</v>
      </c>
      <c r="N146" s="184">
        <f t="shared" si="70"/>
        <v>2.8843368929872368</v>
      </c>
      <c r="O146" s="184">
        <f t="shared" si="70"/>
        <v>3.0051531923297192</v>
      </c>
      <c r="P146" s="184">
        <f t="shared" si="70"/>
        <v>2.9924883768404906</v>
      </c>
      <c r="Q146" s="184">
        <f t="shared" si="70"/>
        <v>2.9350709038562974</v>
      </c>
      <c r="R146" s="184">
        <f t="shared" si="70"/>
        <v>2.69883291694671</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100.14279315168956</v>
      </c>
      <c r="M147" s="185">
        <f t="shared" si="71"/>
        <v>97.484491709254158</v>
      </c>
      <c r="N147" s="185">
        <f t="shared" si="71"/>
        <v>95.390534703570225</v>
      </c>
      <c r="O147" s="185">
        <f t="shared" si="71"/>
        <v>93.515261776263301</v>
      </c>
      <c r="P147" s="185">
        <f t="shared" si="71"/>
        <v>91.720965745509844</v>
      </c>
      <c r="Q147" s="185">
        <f t="shared" si="71"/>
        <v>89.961097231557588</v>
      </c>
      <c r="R147" s="185">
        <f t="shared" si="71"/>
        <v>92.659930148504301</v>
      </c>
    </row>
    <row r="148" spans="1:26" x14ac:dyDescent="0.25">
      <c r="A148" s="49"/>
      <c r="C148" s="278"/>
      <c r="D148" s="57"/>
      <c r="E148" s="7" t="s">
        <v>393</v>
      </c>
      <c r="F148" s="244"/>
      <c r="G148" s="185" t="s">
        <v>235</v>
      </c>
      <c r="H148" s="244"/>
      <c r="I148" s="244"/>
      <c r="J148" s="185">
        <f t="shared" ref="J148:L148" si="72" xml:space="preserve"> ( (J145+J146) + J147) / 2</f>
        <v>0</v>
      </c>
      <c r="K148" s="185">
        <f t="shared" si="72"/>
        <v>0</v>
      </c>
      <c r="L148" s="185">
        <f t="shared" si="72"/>
        <v>50.07139657584478</v>
      </c>
      <c r="M148" s="185">
        <f xml:space="preserve"> ( (M145+M146) + M147) / 2</f>
        <v>100.02827895082561</v>
      </c>
      <c r="N148" s="185">
        <f t="shared" ref="N148:R148" si="73" xml:space="preserve"> ( (N145+N146) + N147) / 2</f>
        <v>97.879681652905816</v>
      </c>
      <c r="O148" s="185">
        <f t="shared" si="73"/>
        <v>95.955474836081621</v>
      </c>
      <c r="P148" s="185">
        <f t="shared" si="73"/>
        <v>94.114357949306822</v>
      </c>
      <c r="Q148" s="185">
        <f t="shared" si="73"/>
        <v>92.308566940461873</v>
      </c>
      <c r="R148" s="185">
        <f t="shared" si="73"/>
        <v>92.659930148504301</v>
      </c>
    </row>
    <row r="150" spans="1:26" s="205" customFormat="1" x14ac:dyDescent="0.25">
      <c r="A150" s="201"/>
      <c r="B150" s="202"/>
      <c r="C150" s="203"/>
      <c r="D150" s="204"/>
      <c r="E150" s="205" t="str">
        <f xml:space="preserve"> InpR!E$101</f>
        <v>WACC on RCV - CPI(H) + RPI wedge bf and additions - WR</v>
      </c>
      <c r="F150" s="205">
        <f xml:space="preserve"> InpR!F$101</f>
        <v>0</v>
      </c>
      <c r="G150" s="223" t="str">
        <f xml:space="preserve"> InpR!G$101</f>
        <v>%</v>
      </c>
      <c r="H150" s="205" t="str">
        <f xml:space="preserve"> InpR!I$101</f>
        <v>PR19 Financial model, 'Water Resources' sheet row 980</v>
      </c>
      <c r="I150" s="205" t="e">
        <f xml:space="preserve"> InpR!#REF!</f>
        <v>#REF!</v>
      </c>
      <c r="J150" s="205">
        <f xml:space="preserve"> InpR!J$101</f>
        <v>0</v>
      </c>
      <c r="K150" s="205">
        <f xml:space="preserve"> InpR!K$101</f>
        <v>0</v>
      </c>
      <c r="L150" s="205">
        <f xml:space="preserve"> InpR!L$101</f>
        <v>0</v>
      </c>
      <c r="M150" s="205">
        <f xml:space="preserve"> InpR!M$101</f>
        <v>2.2181345335277269E-2</v>
      </c>
      <c r="N150" s="205">
        <f xml:space="preserve"> InpR!N$101</f>
        <v>2.2181345335277269E-2</v>
      </c>
      <c r="O150" s="205">
        <f xml:space="preserve"> InpR!O$101</f>
        <v>2.2181345335277269E-2</v>
      </c>
      <c r="P150" s="205">
        <f xml:space="preserve"> InpR!P$101</f>
        <v>2.2181345335277269E-2</v>
      </c>
      <c r="Q150" s="205">
        <f xml:space="preserve"> InpR!Q$101</f>
        <v>2.2181345335277269E-2</v>
      </c>
      <c r="R150" s="205">
        <f xml:space="preserve"> InpR!R$101</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50.07139657584478</v>
      </c>
      <c r="M152" s="246">
        <f t="shared" si="74"/>
        <v>100.02827895082561</v>
      </c>
      <c r="N152" s="246">
        <f t="shared" si="74"/>
        <v>97.879681652905816</v>
      </c>
      <c r="O152" s="246">
        <f t="shared" si="74"/>
        <v>95.955474836081621</v>
      </c>
      <c r="P152" s="246">
        <f t="shared" si="74"/>
        <v>94.114357949306822</v>
      </c>
      <c r="Q152" s="246">
        <f t="shared" si="74"/>
        <v>92.308566940461873</v>
      </c>
      <c r="R152" s="246">
        <f t="shared" si="74"/>
        <v>92.659930148504301</v>
      </c>
    </row>
    <row r="153" spans="1:26" x14ac:dyDescent="0.25">
      <c r="C153" s="278"/>
      <c r="E153" s="7" t="s">
        <v>394</v>
      </c>
      <c r="F153" s="244"/>
      <c r="G153" s="184" t="s">
        <v>235</v>
      </c>
      <c r="H153" s="244"/>
      <c r="I153" s="244"/>
      <c r="J153" s="246">
        <f t="shared" ref="J153:K153" si="75">J150*J151*J152</f>
        <v>0</v>
      </c>
      <c r="K153" s="246">
        <f t="shared" si="75"/>
        <v>0</v>
      </c>
      <c r="L153" s="246">
        <f>L150*L151*L152</f>
        <v>0</v>
      </c>
      <c r="M153" s="246">
        <f t="shared" ref="M153:R153" si="76">M150*M151*M152</f>
        <v>2.218761798701709</v>
      </c>
      <c r="N153" s="246">
        <f t="shared" si="76"/>
        <v>2.1711030200501065</v>
      </c>
      <c r="O153" s="246">
        <f t="shared" si="76"/>
        <v>2.1284215241496343</v>
      </c>
      <c r="P153" s="246">
        <f t="shared" si="76"/>
        <v>2.0875830746814721</v>
      </c>
      <c r="Q153" s="246">
        <f t="shared" si="76"/>
        <v>2.0475282007109437</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5.0875744831428928</v>
      </c>
      <c r="N155" s="184">
        <f t="shared" si="77"/>
        <v>4.9782938986711729</v>
      </c>
      <c r="O155" s="184">
        <f t="shared" si="77"/>
        <v>4.8804261196366365</v>
      </c>
      <c r="P155" s="184">
        <f t="shared" si="77"/>
        <v>4.7867844075939479</v>
      </c>
      <c r="Q155" s="184">
        <f t="shared" si="77"/>
        <v>4.6949394178085608</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2.218761798701709</v>
      </c>
      <c r="N156" s="184">
        <f t="shared" si="78"/>
        <v>2.1711030200501065</v>
      </c>
      <c r="O156" s="184">
        <f t="shared" si="78"/>
        <v>2.1284215241496343</v>
      </c>
      <c r="P156" s="184">
        <f t="shared" si="78"/>
        <v>2.0875830746814721</v>
      </c>
      <c r="Q156" s="184">
        <f t="shared" si="78"/>
        <v>2.0475282007109437</v>
      </c>
      <c r="R156" s="184">
        <f t="shared" si="78"/>
        <v>0</v>
      </c>
    </row>
    <row r="157" spans="1:26" x14ac:dyDescent="0.25">
      <c r="C157" s="278"/>
      <c r="E157" s="7" t="s">
        <v>395</v>
      </c>
      <c r="F157" s="244"/>
      <c r="G157" s="184" t="str">
        <f t="shared" ref="G157" si="79">G$155</f>
        <v>£m</v>
      </c>
      <c r="H157" s="244">
        <f>SUM(J157:R157)</f>
        <v>35.081415945147079</v>
      </c>
      <c r="I157" s="244"/>
      <c r="J157" s="244">
        <f t="shared" ref="J157:R157" si="80">SUM(J155:J156)</f>
        <v>0</v>
      </c>
      <c r="K157" s="244">
        <f t="shared" si="80"/>
        <v>0</v>
      </c>
      <c r="L157" s="244">
        <f>SUM(L155:L156)</f>
        <v>0</v>
      </c>
      <c r="M157" s="244">
        <f t="shared" si="80"/>
        <v>7.3063362818446018</v>
      </c>
      <c r="N157" s="244">
        <f t="shared" si="80"/>
        <v>7.1493969187212798</v>
      </c>
      <c r="O157" s="244">
        <f t="shared" si="80"/>
        <v>7.0088476437862708</v>
      </c>
      <c r="P157" s="244">
        <f t="shared" si="80"/>
        <v>6.8743674822754199</v>
      </c>
      <c r="Q157" s="244">
        <f t="shared" si="80"/>
        <v>6.7424676185195045</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35.081415945147079</v>
      </c>
      <c r="I159" s="184">
        <f t="shared" si="81"/>
        <v>0</v>
      </c>
      <c r="J159" s="184">
        <f t="shared" si="81"/>
        <v>0</v>
      </c>
      <c r="K159" s="184">
        <f t="shared" si="81"/>
        <v>0</v>
      </c>
      <c r="L159" s="184">
        <f t="shared" si="81"/>
        <v>0</v>
      </c>
      <c r="M159" s="184">
        <f t="shared" si="81"/>
        <v>7.3063362818446018</v>
      </c>
      <c r="N159" s="184">
        <f t="shared" si="81"/>
        <v>7.1493969187212798</v>
      </c>
      <c r="O159" s="184">
        <f t="shared" si="81"/>
        <v>7.0088476437862708</v>
      </c>
      <c r="P159" s="184">
        <f t="shared" si="81"/>
        <v>6.8743674822754199</v>
      </c>
      <c r="Q159" s="184">
        <f t="shared" si="81"/>
        <v>6.7424676185195045</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36.042216756283217</v>
      </c>
      <c r="I160" s="184">
        <f t="shared" si="82"/>
        <v>0</v>
      </c>
      <c r="J160" s="184">
        <f t="shared" si="82"/>
        <v>0</v>
      </c>
      <c r="K160" s="184">
        <f t="shared" si="82"/>
        <v>0</v>
      </c>
      <c r="L160" s="184">
        <f t="shared" si="82"/>
        <v>0</v>
      </c>
      <c r="M160" s="184">
        <f t="shared" si="82"/>
        <v>7.2795956073664758</v>
      </c>
      <c r="N160" s="184">
        <f t="shared" si="82"/>
        <v>7.2026496990212951</v>
      </c>
      <c r="O160" s="184">
        <f t="shared" si="82"/>
        <v>7.2680972999186064</v>
      </c>
      <c r="P160" s="184">
        <f t="shared" si="82"/>
        <v>7.1986884828817637</v>
      </c>
      <c r="Q160" s="184">
        <f t="shared" si="82"/>
        <v>7.0931856670950806</v>
      </c>
      <c r="R160" s="184">
        <f t="shared" si="82"/>
        <v>0</v>
      </c>
    </row>
    <row r="161" spans="1:16383" s="185" customFormat="1" x14ac:dyDescent="0.25">
      <c r="A161" s="252"/>
      <c r="B161" s="181"/>
      <c r="C161" s="182"/>
      <c r="D161" s="253"/>
      <c r="E161" s="7" t="s">
        <v>396</v>
      </c>
      <c r="G161" s="185" t="str">
        <f t="shared" ref="G161" si="83" xml:space="preserve"> G$153</f>
        <v>£m</v>
      </c>
      <c r="H161" s="185">
        <f xml:space="preserve"> SUM(J161:R161)</f>
        <v>0.96080081113614479</v>
      </c>
      <c r="J161" s="185">
        <f t="shared" ref="J161:K161" si="84">J160-J159</f>
        <v>0</v>
      </c>
      <c r="K161" s="185">
        <f t="shared" si="84"/>
        <v>0</v>
      </c>
      <c r="L161" s="185">
        <f>L160-L159</f>
        <v>0</v>
      </c>
      <c r="M161" s="185">
        <f>M160-M159</f>
        <v>-2.6740674478126003E-2</v>
      </c>
      <c r="N161" s="185">
        <f t="shared" ref="N161:R161" si="85">N160-N159</f>
        <v>5.3252780300015345E-2</v>
      </c>
      <c r="O161" s="185">
        <f t="shared" si="85"/>
        <v>0.25924965613233564</v>
      </c>
      <c r="P161" s="185">
        <f t="shared" si="85"/>
        <v>0.32432100060634372</v>
      </c>
      <c r="Q161" s="185">
        <f t="shared" si="85"/>
        <v>0.35071804857557609</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0.96080081113614479</v>
      </c>
      <c r="I163" s="248">
        <f t="shared" si="86"/>
        <v>0</v>
      </c>
      <c r="J163" s="248">
        <f t="shared" si="86"/>
        <v>0</v>
      </c>
      <c r="K163" s="248">
        <f t="shared" si="86"/>
        <v>0</v>
      </c>
      <c r="L163" s="248">
        <f t="shared" si="86"/>
        <v>0</v>
      </c>
      <c r="M163" s="248">
        <f t="shared" si="86"/>
        <v>-2.6740674478126003E-2</v>
      </c>
      <c r="N163" s="248">
        <f t="shared" si="86"/>
        <v>5.3252780300015345E-2</v>
      </c>
      <c r="O163" s="248">
        <f t="shared" si="86"/>
        <v>0.25924965613233564</v>
      </c>
      <c r="P163" s="248">
        <f t="shared" si="86"/>
        <v>0.32432100060634372</v>
      </c>
      <c r="Q163" s="248">
        <f t="shared" si="86"/>
        <v>0.35071804857557609</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0.96080081113614479</v>
      </c>
      <c r="I164" s="248">
        <f t="shared" si="87"/>
        <v>0</v>
      </c>
      <c r="J164" s="248">
        <f t="shared" si="87"/>
        <v>0</v>
      </c>
      <c r="K164" s="248">
        <f t="shared" si="87"/>
        <v>0</v>
      </c>
      <c r="L164" s="248">
        <f t="shared" si="87"/>
        <v>0</v>
      </c>
      <c r="M164" s="248">
        <f t="shared" si="87"/>
        <v>-2.6740674478126003E-2</v>
      </c>
      <c r="N164" s="248">
        <f t="shared" si="87"/>
        <v>5.3252780300015345E-2</v>
      </c>
      <c r="O164" s="248">
        <f t="shared" si="87"/>
        <v>0.25924965613233564</v>
      </c>
      <c r="P164" s="248">
        <f t="shared" si="87"/>
        <v>0.32432100060634372</v>
      </c>
      <c r="Q164" s="248">
        <f t="shared" si="87"/>
        <v>0.35071804857557609</v>
      </c>
      <c r="R164" s="248">
        <f t="shared" si="87"/>
        <v>0</v>
      </c>
      <c r="S164" s="92"/>
      <c r="T164" s="92"/>
      <c r="U164" s="92"/>
      <c r="V164" s="92"/>
      <c r="W164" s="92"/>
      <c r="X164" s="92"/>
      <c r="Y164" s="92"/>
      <c r="Z164" s="92"/>
    </row>
    <row r="165" spans="1:16383" s="211" customFormat="1" x14ac:dyDescent="0.25">
      <c r="A165" s="224"/>
      <c r="B165" s="208"/>
      <c r="C165" s="209"/>
      <c r="D165" s="210"/>
      <c r="E165" s="7" t="s">
        <v>397</v>
      </c>
      <c r="F165" s="225">
        <f>SUM(J165:R165)</f>
        <v>0</v>
      </c>
      <c r="G165" s="211" t="s">
        <v>317</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398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50.07139657584478</v>
      </c>
      <c r="M169" s="185">
        <f t="shared" si="90"/>
        <v>100.02827895082561</v>
      </c>
      <c r="N169" s="184">
        <f t="shared" si="90"/>
        <v>97.879681652905816</v>
      </c>
      <c r="O169" s="184">
        <f t="shared" si="90"/>
        <v>95.955474836081621</v>
      </c>
      <c r="P169" s="184">
        <f t="shared" si="90"/>
        <v>94.114357949306822</v>
      </c>
      <c r="Q169" s="184">
        <f t="shared" si="90"/>
        <v>92.308566940461873</v>
      </c>
      <c r="R169" s="184">
        <f t="shared" si="90"/>
        <v>92.659930148504301</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50.07139657584478</v>
      </c>
      <c r="M170" s="185">
        <f t="shared" si="91"/>
        <v>99.662182518516857</v>
      </c>
      <c r="N170" s="184">
        <f t="shared" si="91"/>
        <v>98.608745270740286</v>
      </c>
      <c r="O170" s="184">
        <f t="shared" si="91"/>
        <v>99.504763552226478</v>
      </c>
      <c r="P170" s="184">
        <f t="shared" si="91"/>
        <v>98.554513762949711</v>
      </c>
      <c r="Q170" s="184">
        <f t="shared" si="91"/>
        <v>97.110114726207911</v>
      </c>
      <c r="R170" s="184">
        <f t="shared" si="91"/>
        <v>96.533349155561609</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48.071482526738997</v>
      </c>
      <c r="M172" s="184">
        <f t="shared" si="92"/>
        <v>94.165382345812816</v>
      </c>
      <c r="N172" s="184">
        <f t="shared" si="92"/>
        <v>90.332281414760132</v>
      </c>
      <c r="O172" s="184">
        <f t="shared" si="92"/>
        <v>86.756149494469327</v>
      </c>
      <c r="P172" s="184">
        <f t="shared" si="92"/>
        <v>83.341373068451574</v>
      </c>
      <c r="Q172" s="184">
        <f t="shared" si="92"/>
        <v>80.061004383068038</v>
      </c>
      <c r="R172" s="184">
        <f t="shared" si="92"/>
        <v>78.78994949516435</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48.071482526738997</v>
      </c>
      <c r="M173" s="184">
        <f t="shared" si="92"/>
        <v>93.820743700767864</v>
      </c>
      <c r="N173" s="184">
        <f t="shared" si="92"/>
        <v>91.005127696882582</v>
      </c>
      <c r="O173" s="184">
        <f t="shared" si="92"/>
        <v>89.965165165361611</v>
      </c>
      <c r="P173" s="184">
        <f t="shared" si="92"/>
        <v>87.273277723702876</v>
      </c>
      <c r="Q173" s="184">
        <f t="shared" si="92"/>
        <v>84.225479589015819</v>
      </c>
      <c r="R173" s="184">
        <f t="shared" si="92"/>
        <v>82.083568295119605</v>
      </c>
      <c r="S173" s="92"/>
      <c r="T173" s="92"/>
      <c r="U173" s="92"/>
      <c r="V173" s="92"/>
      <c r="W173" s="92"/>
      <c r="X173" s="92"/>
      <c r="Y173" s="92"/>
      <c r="Z173" s="92"/>
    </row>
    <row r="174" spans="1:16383" s="91" customFormat="1" x14ac:dyDescent="0.25">
      <c r="A174" s="170"/>
      <c r="B174" s="165"/>
      <c r="C174" s="166"/>
      <c r="D174" s="171"/>
      <c r="E174" s="7" t="s">
        <v>399</v>
      </c>
      <c r="F174" s="184"/>
      <c r="G174" s="184" t="s">
        <v>235</v>
      </c>
      <c r="H174" s="244"/>
      <c r="I174" s="184"/>
      <c r="J174" s="185">
        <f>J173-J172</f>
        <v>0</v>
      </c>
      <c r="K174" s="185">
        <f t="shared" ref="K174:R174" si="93">K173-K172</f>
        <v>0</v>
      </c>
      <c r="L174" s="185">
        <f t="shared" si="93"/>
        <v>0</v>
      </c>
      <c r="M174" s="185">
        <f t="shared" si="93"/>
        <v>-0.34463864504495234</v>
      </c>
      <c r="N174" s="185">
        <f t="shared" si="93"/>
        <v>0.67284628212244968</v>
      </c>
      <c r="O174" s="185">
        <f t="shared" si="93"/>
        <v>3.2090156708922848</v>
      </c>
      <c r="P174" s="185">
        <f t="shared" si="93"/>
        <v>3.9319046552513015</v>
      </c>
      <c r="Q174" s="185">
        <f t="shared" si="93"/>
        <v>4.164475205947781</v>
      </c>
      <c r="R174" s="185">
        <f t="shared" si="93"/>
        <v>3.2936187999552544</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-0.34463864504495234</v>
      </c>
      <c r="N176" s="185">
        <f t="shared" si="94"/>
        <v>0.67284628212244968</v>
      </c>
      <c r="O176" s="185">
        <f t="shared" si="94"/>
        <v>3.2090156708922848</v>
      </c>
      <c r="P176" s="185">
        <f t="shared" si="94"/>
        <v>3.9319046552513015</v>
      </c>
      <c r="Q176" s="185">
        <f t="shared" si="94"/>
        <v>4.164475205947781</v>
      </c>
      <c r="R176" s="185">
        <f t="shared" si="94"/>
        <v>3.2936187999552544</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400</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4.164475205947781</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401</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5.0875744831428928</v>
      </c>
      <c r="N182" s="184">
        <f t="shared" si="96"/>
        <v>4.9782938986711729</v>
      </c>
      <c r="O182" s="184">
        <f t="shared" si="96"/>
        <v>4.8804261196366365</v>
      </c>
      <c r="P182" s="184">
        <f t="shared" si="96"/>
        <v>4.7867844075939479</v>
      </c>
      <c r="Q182" s="184">
        <f t="shared" si="96"/>
        <v>4.6949394178085608</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2.218761798701709</v>
      </c>
      <c r="N183" s="184">
        <f t="shared" si="97"/>
        <v>2.1711030200501065</v>
      </c>
      <c r="O183" s="184">
        <f t="shared" si="97"/>
        <v>2.1284215241496343</v>
      </c>
      <c r="P183" s="184">
        <f t="shared" si="97"/>
        <v>2.0875830746814721</v>
      </c>
      <c r="Q183" s="184">
        <f t="shared" si="97"/>
        <v>2.0475282007109437</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35.081415945147079</v>
      </c>
      <c r="I184" s="184">
        <f t="shared" si="98"/>
        <v>0</v>
      </c>
      <c r="J184" s="184">
        <f t="shared" si="98"/>
        <v>0</v>
      </c>
      <c r="K184" s="184">
        <f t="shared" si="98"/>
        <v>0</v>
      </c>
      <c r="L184" s="184">
        <f t="shared" si="98"/>
        <v>0</v>
      </c>
      <c r="M184" s="184">
        <f t="shared" si="98"/>
        <v>7.3063362818446018</v>
      </c>
      <c r="N184" s="184">
        <f t="shared" si="98"/>
        <v>7.1493969187212798</v>
      </c>
      <c r="O184" s="184">
        <f t="shared" si="98"/>
        <v>7.0088476437862708</v>
      </c>
      <c r="P184" s="184">
        <f t="shared" si="98"/>
        <v>6.8743674822754199</v>
      </c>
      <c r="Q184" s="184">
        <f t="shared" si="98"/>
        <v>6.7424676185195045</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5.0689543200558198</v>
      </c>
      <c r="N185" s="184">
        <f t="shared" si="99"/>
        <v>5.0153750670926156</v>
      </c>
      <c r="O185" s="184">
        <f t="shared" si="99"/>
        <v>5.0609477770615596</v>
      </c>
      <c r="P185" s="184">
        <f t="shared" si="99"/>
        <v>5.0126167787554401</v>
      </c>
      <c r="Q185" s="184">
        <f t="shared" si="99"/>
        <v>4.9391526768046683</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2.2106412873106556</v>
      </c>
      <c r="N186" s="184">
        <f t="shared" si="100"/>
        <v>2.1872746319286795</v>
      </c>
      <c r="O186" s="184">
        <f t="shared" si="100"/>
        <v>2.2071495228570464</v>
      </c>
      <c r="P186" s="184">
        <f t="shared" si="100"/>
        <v>2.186071704126324</v>
      </c>
      <c r="Q186" s="184">
        <f t="shared" si="100"/>
        <v>2.1540329902904123</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36.042216756283217</v>
      </c>
      <c r="I187" s="184">
        <f t="shared" si="101"/>
        <v>0</v>
      </c>
      <c r="J187" s="184">
        <f t="shared" si="101"/>
        <v>0</v>
      </c>
      <c r="K187" s="184">
        <f t="shared" si="101"/>
        <v>0</v>
      </c>
      <c r="L187" s="184">
        <f t="shared" si="101"/>
        <v>0</v>
      </c>
      <c r="M187" s="184">
        <f t="shared" si="101"/>
        <v>7.2795956073664758</v>
      </c>
      <c r="N187" s="184">
        <f t="shared" si="101"/>
        <v>7.2026496990212951</v>
      </c>
      <c r="O187" s="184">
        <f t="shared" si="101"/>
        <v>7.2680972999186064</v>
      </c>
      <c r="P187" s="184">
        <f t="shared" si="101"/>
        <v>7.1986884828817637</v>
      </c>
      <c r="Q187" s="184">
        <f t="shared" si="101"/>
        <v>7.0931856670950806</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22.107205761941618</v>
      </c>
      <c r="I189" s="184"/>
      <c r="J189" s="184">
        <f t="shared" ref="J189:R194" si="105" xml:space="preserve"> IF(J$188 = 0, 0, J182 / J$188)</f>
        <v>0</v>
      </c>
      <c r="K189" s="184">
        <f t="shared" si="105"/>
        <v>0</v>
      </c>
      <c r="L189" s="184">
        <f t="shared" si="105"/>
        <v>0</v>
      </c>
      <c r="M189" s="185">
        <f t="shared" si="105"/>
        <v>4.7893795778838335</v>
      </c>
      <c r="N189" s="184">
        <f t="shared" si="105"/>
        <v>4.594422844721187</v>
      </c>
      <c r="O189" s="184">
        <f t="shared" si="105"/>
        <v>4.4125359053790794</v>
      </c>
      <c r="P189" s="184">
        <f t="shared" si="105"/>
        <v>4.2388557262050837</v>
      </c>
      <c r="Q189" s="184">
        <f t="shared" si="105"/>
        <v>4.0720117077524352</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9.6412590681783836</v>
      </c>
      <c r="I190" s="184"/>
      <c r="J190" s="184">
        <f t="shared" si="105"/>
        <v>0</v>
      </c>
      <c r="K190" s="184">
        <f t="shared" si="105"/>
        <v>0</v>
      </c>
      <c r="L190" s="184">
        <f t="shared" si="105"/>
        <v>0</v>
      </c>
      <c r="M190" s="185">
        <f t="shared" si="105"/>
        <v>2.0887148644408953</v>
      </c>
      <c r="N190" s="184">
        <f xml:space="preserve"> IF(N$188 = 0, 0, N183 / N$188)</f>
        <v>2.003691528984243</v>
      </c>
      <c r="O190" s="184">
        <f t="shared" si="105"/>
        <v>1.9243681118957645</v>
      </c>
      <c r="P190" s="184">
        <f t="shared" si="105"/>
        <v>1.8486237767475011</v>
      </c>
      <c r="Q190" s="184">
        <f t="shared" si="105"/>
        <v>1.7758607861099793</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31.748464830120003</v>
      </c>
      <c r="I191" s="184"/>
      <c r="J191" s="184">
        <f t="shared" si="105"/>
        <v>0</v>
      </c>
      <c r="K191" s="184">
        <f t="shared" si="105"/>
        <v>0</v>
      </c>
      <c r="L191" s="184">
        <f t="shared" si="105"/>
        <v>0</v>
      </c>
      <c r="M191" s="185">
        <f t="shared" si="105"/>
        <v>6.8780944423247288</v>
      </c>
      <c r="N191" s="184">
        <f t="shared" si="105"/>
        <v>6.5981143737054309</v>
      </c>
      <c r="O191" s="184">
        <f t="shared" si="105"/>
        <v>6.3369040172748434</v>
      </c>
      <c r="P191" s="184">
        <f t="shared" si="105"/>
        <v>6.0874795029525854</v>
      </c>
      <c r="Q191" s="184">
        <f t="shared" si="105"/>
        <v>5.8478724938624138</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22.698906661439953</v>
      </c>
      <c r="I192" s="184"/>
      <c r="J192" s="184">
        <f t="shared" si="105"/>
        <v>0</v>
      </c>
      <c r="K192" s="184">
        <f t="shared" si="105"/>
        <v>0</v>
      </c>
      <c r="L192" s="184">
        <f t="shared" si="105"/>
        <v>0</v>
      </c>
      <c r="M192" s="185">
        <f t="shared" si="105"/>
        <v>4.7718507870776099</v>
      </c>
      <c r="N192" s="184">
        <f t="shared" si="105"/>
        <v>4.6286447228931262</v>
      </c>
      <c r="O192" s="184">
        <f t="shared" si="105"/>
        <v>4.5757508123481703</v>
      </c>
      <c r="P192" s="184">
        <f t="shared" si="105"/>
        <v>4.4388377513286112</v>
      </c>
      <c r="Q192" s="184">
        <f t="shared" si="105"/>
        <v>4.2838225877924367</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9.8993080375672946</v>
      </c>
      <c r="I193" s="184"/>
      <c r="J193" s="184">
        <f t="shared" si="105"/>
        <v>0</v>
      </c>
      <c r="K193" s="184">
        <f t="shared" si="105"/>
        <v>0</v>
      </c>
      <c r="L193" s="184">
        <f t="shared" si="105"/>
        <v>0</v>
      </c>
      <c r="M193" s="185">
        <f t="shared" si="105"/>
        <v>2.0810703156392711</v>
      </c>
      <c r="N193" s="184">
        <f t="shared" si="105"/>
        <v>2.0186161647255587</v>
      </c>
      <c r="O193" s="184">
        <f t="shared" si="105"/>
        <v>1.9955483966781429</v>
      </c>
      <c r="P193" s="184">
        <f t="shared" si="105"/>
        <v>1.9358387117310143</v>
      </c>
      <c r="Q193" s="184">
        <f t="shared" si="105"/>
        <v>1.8682344487933069</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32.598214699007251</v>
      </c>
      <c r="I194" s="184"/>
      <c r="J194" s="184">
        <f t="shared" si="105"/>
        <v>0</v>
      </c>
      <c r="K194" s="184">
        <f t="shared" si="105"/>
        <v>0</v>
      </c>
      <c r="L194" s="184">
        <f t="shared" si="105"/>
        <v>0</v>
      </c>
      <c r="M194" s="185">
        <f t="shared" si="105"/>
        <v>6.8529211027168815</v>
      </c>
      <c r="N194" s="184">
        <f t="shared" si="105"/>
        <v>6.6472608876186845</v>
      </c>
      <c r="O194" s="184">
        <f t="shared" si="105"/>
        <v>6.5712992090263134</v>
      </c>
      <c r="P194" s="184">
        <f t="shared" si="105"/>
        <v>6.3746764630596253</v>
      </c>
      <c r="Q194" s="184">
        <f t="shared" si="105"/>
        <v>6.1520570365857434</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22.107205761941618</v>
      </c>
      <c r="I196" s="247">
        <f t="shared" si="106"/>
        <v>0</v>
      </c>
      <c r="J196" s="184">
        <f t="shared" si="106"/>
        <v>0</v>
      </c>
      <c r="K196" s="184">
        <f t="shared" si="106"/>
        <v>0</v>
      </c>
      <c r="L196" s="184">
        <f t="shared" si="106"/>
        <v>0</v>
      </c>
      <c r="M196" s="185">
        <f t="shared" si="106"/>
        <v>4.7893795778838335</v>
      </c>
      <c r="N196" s="184">
        <f t="shared" si="106"/>
        <v>4.594422844721187</v>
      </c>
      <c r="O196" s="184">
        <f t="shared" si="106"/>
        <v>4.4125359053790794</v>
      </c>
      <c r="P196" s="184">
        <f t="shared" si="106"/>
        <v>4.2388557262050837</v>
      </c>
      <c r="Q196" s="184">
        <f t="shared" si="106"/>
        <v>4.0720117077524352</v>
      </c>
      <c r="R196" s="184">
        <f t="shared" si="106"/>
        <v>0</v>
      </c>
    </row>
    <row r="197" spans="1:26" x14ac:dyDescent="0.25">
      <c r="E197" s="7" t="str">
        <f>E$192</f>
        <v>RCV run-off company should have received- real</v>
      </c>
      <c r="F197" s="184">
        <f t="shared" ref="F197:R197" si="107">F$192</f>
        <v>0</v>
      </c>
      <c r="G197" s="7" t="str">
        <f t="shared" si="107"/>
        <v>£m</v>
      </c>
      <c r="H197" s="247">
        <f t="shared" si="107"/>
        <v>22.698906661439953</v>
      </c>
      <c r="I197" s="247">
        <f t="shared" si="107"/>
        <v>0</v>
      </c>
      <c r="J197" s="184">
        <f t="shared" si="107"/>
        <v>0</v>
      </c>
      <c r="K197" s="184">
        <f t="shared" si="107"/>
        <v>0</v>
      </c>
      <c r="L197" s="184">
        <f t="shared" si="107"/>
        <v>0</v>
      </c>
      <c r="M197" s="185">
        <f t="shared" si="107"/>
        <v>4.7718507870776099</v>
      </c>
      <c r="N197" s="184">
        <f t="shared" si="107"/>
        <v>4.6286447228931262</v>
      </c>
      <c r="O197" s="184">
        <f t="shared" si="107"/>
        <v>4.5757508123481703</v>
      </c>
      <c r="P197" s="184">
        <f t="shared" si="107"/>
        <v>4.4388377513286112</v>
      </c>
      <c r="Q197" s="184">
        <f t="shared" si="107"/>
        <v>4.2838225877924367</v>
      </c>
      <c r="R197" s="184">
        <f t="shared" si="107"/>
        <v>0</v>
      </c>
    </row>
    <row r="198" spans="1:26" x14ac:dyDescent="0.25">
      <c r="C198" s="278"/>
      <c r="E198" s="7" t="s">
        <v>402</v>
      </c>
      <c r="G198" s="7" t="s">
        <v>235</v>
      </c>
      <c r="H198" s="185">
        <f xml:space="preserve"> SUM(J198:R198)</f>
        <v>0.59170089949833571</v>
      </c>
      <c r="I198" s="185"/>
      <c r="J198" s="184">
        <f t="shared" ref="J198:K198" si="108">J197-J196</f>
        <v>0</v>
      </c>
      <c r="K198" s="184">
        <f t="shared" si="108"/>
        <v>0</v>
      </c>
      <c r="L198" s="184">
        <f>L197-L196</f>
        <v>0</v>
      </c>
      <c r="M198" s="185">
        <f>M197-M196</f>
        <v>-1.7528790806223604E-2</v>
      </c>
      <c r="N198" s="184">
        <f t="shared" ref="N198:R198" si="109">N197-N196</f>
        <v>3.4221878171939224E-2</v>
      </c>
      <c r="O198" s="184">
        <f t="shared" si="109"/>
        <v>0.16321490696909091</v>
      </c>
      <c r="P198" s="184">
        <f t="shared" si="109"/>
        <v>0.19998202512352758</v>
      </c>
      <c r="Q198" s="184">
        <f t="shared" si="109"/>
        <v>0.21181088004000159</v>
      </c>
      <c r="R198" s="184">
        <f t="shared" si="109"/>
        <v>0</v>
      </c>
    </row>
    <row r="200" spans="1:26" x14ac:dyDescent="0.25">
      <c r="E200" s="7" t="str">
        <f>E$190</f>
        <v>True up Nominal return- real</v>
      </c>
      <c r="F200" s="184">
        <f t="shared" ref="F200:R200" si="110">F$190</f>
        <v>0</v>
      </c>
      <c r="G200" s="7" t="str">
        <f t="shared" si="110"/>
        <v>£m</v>
      </c>
      <c r="H200" s="247">
        <f t="shared" si="110"/>
        <v>9.6412590681783836</v>
      </c>
      <c r="I200" s="247">
        <f t="shared" si="110"/>
        <v>0</v>
      </c>
      <c r="J200" s="184">
        <f t="shared" si="110"/>
        <v>0</v>
      </c>
      <c r="K200" s="184">
        <f t="shared" si="110"/>
        <v>0</v>
      </c>
      <c r="L200" s="184">
        <f t="shared" si="110"/>
        <v>0</v>
      </c>
      <c r="M200" s="185">
        <f t="shared" si="110"/>
        <v>2.0887148644408953</v>
      </c>
      <c r="N200" s="184">
        <f t="shared" si="110"/>
        <v>2.003691528984243</v>
      </c>
      <c r="O200" s="184">
        <f t="shared" si="110"/>
        <v>1.9243681118957645</v>
      </c>
      <c r="P200" s="184">
        <f t="shared" si="110"/>
        <v>1.8486237767475011</v>
      </c>
      <c r="Q200" s="184">
        <f t="shared" si="110"/>
        <v>1.7758607861099793</v>
      </c>
      <c r="R200" s="184">
        <f t="shared" si="110"/>
        <v>0</v>
      </c>
    </row>
    <row r="201" spans="1:26" x14ac:dyDescent="0.25">
      <c r="E201" s="7" t="str">
        <f>E$193</f>
        <v>Nominal return company should have received- real</v>
      </c>
      <c r="F201" s="184">
        <f t="shared" ref="F201:R201" si="111">F$193</f>
        <v>0</v>
      </c>
      <c r="G201" s="7" t="str">
        <f t="shared" si="111"/>
        <v>£m</v>
      </c>
      <c r="H201" s="247">
        <f t="shared" si="111"/>
        <v>9.8993080375672946</v>
      </c>
      <c r="I201" s="247">
        <f t="shared" si="111"/>
        <v>0</v>
      </c>
      <c r="J201" s="184">
        <f t="shared" si="111"/>
        <v>0</v>
      </c>
      <c r="K201" s="184">
        <f t="shared" si="111"/>
        <v>0</v>
      </c>
      <c r="L201" s="184">
        <f t="shared" si="111"/>
        <v>0</v>
      </c>
      <c r="M201" s="185">
        <f t="shared" si="111"/>
        <v>2.0810703156392711</v>
      </c>
      <c r="N201" s="184">
        <f t="shared" si="111"/>
        <v>2.0186161647255587</v>
      </c>
      <c r="O201" s="184">
        <f t="shared" si="111"/>
        <v>1.9955483966781429</v>
      </c>
      <c r="P201" s="184">
        <f t="shared" si="111"/>
        <v>1.9358387117310143</v>
      </c>
      <c r="Q201" s="184">
        <f t="shared" si="111"/>
        <v>1.8682344487933069</v>
      </c>
      <c r="R201" s="184">
        <f t="shared" si="111"/>
        <v>0</v>
      </c>
    </row>
    <row r="202" spans="1:26" x14ac:dyDescent="0.25">
      <c r="C202" s="278"/>
      <c r="E202" s="7" t="s">
        <v>403</v>
      </c>
      <c r="G202" s="7" t="s">
        <v>235</v>
      </c>
      <c r="H202" s="185">
        <f xml:space="preserve"> SUM(J202:R202)</f>
        <v>0.25804896938891075</v>
      </c>
      <c r="I202" s="185"/>
      <c r="J202" s="184">
        <f t="shared" ref="J202:K202" si="112">J201-J200</f>
        <v>0</v>
      </c>
      <c r="K202" s="184">
        <f t="shared" si="112"/>
        <v>0</v>
      </c>
      <c r="L202" s="184">
        <f>L201-L200</f>
        <v>0</v>
      </c>
      <c r="M202" s="185">
        <f>M201-M200</f>
        <v>-7.6445488016241292E-3</v>
      </c>
      <c r="N202" s="184">
        <f t="shared" ref="N202:R202" si="113">N201-N200</f>
        <v>1.492463574131575E-2</v>
      </c>
      <c r="O202" s="184">
        <f>O201-O200</f>
        <v>7.1180284782378367E-2</v>
      </c>
      <c r="P202" s="184">
        <f t="shared" si="113"/>
        <v>8.7214934983513182E-2</v>
      </c>
      <c r="Q202" s="184">
        <f t="shared" si="113"/>
        <v>9.2373662683327584E-2</v>
      </c>
      <c r="R202" s="184">
        <f t="shared" si="113"/>
        <v>0</v>
      </c>
    </row>
    <row r="204" spans="1:26" x14ac:dyDescent="0.25">
      <c r="E204" s="7" t="str">
        <f>E$191</f>
        <v>Total True up Nominal revenue to company- real</v>
      </c>
      <c r="F204" s="184">
        <f t="shared" ref="F204:R204" si="114">F$191</f>
        <v>0</v>
      </c>
      <c r="G204" s="7" t="str">
        <f t="shared" si="114"/>
        <v>£m</v>
      </c>
      <c r="H204" s="247">
        <f t="shared" si="114"/>
        <v>31.748464830120003</v>
      </c>
      <c r="I204" s="247"/>
      <c r="J204" s="184">
        <f t="shared" si="114"/>
        <v>0</v>
      </c>
      <c r="K204" s="184">
        <f t="shared" si="114"/>
        <v>0</v>
      </c>
      <c r="L204" s="184">
        <f t="shared" si="114"/>
        <v>0</v>
      </c>
      <c r="M204" s="185">
        <f t="shared" si="114"/>
        <v>6.8780944423247288</v>
      </c>
      <c r="N204" s="184">
        <f t="shared" si="114"/>
        <v>6.5981143737054309</v>
      </c>
      <c r="O204" s="184">
        <f t="shared" si="114"/>
        <v>6.3369040172748434</v>
      </c>
      <c r="P204" s="184">
        <f t="shared" si="114"/>
        <v>6.0874795029525854</v>
      </c>
      <c r="Q204" s="184">
        <f t="shared" si="114"/>
        <v>5.8478724938624138</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32.598214699007251</v>
      </c>
      <c r="I205" s="247"/>
      <c r="J205" s="184">
        <f t="shared" si="115"/>
        <v>0</v>
      </c>
      <c r="K205" s="184">
        <f t="shared" si="115"/>
        <v>0</v>
      </c>
      <c r="L205" s="184">
        <f t="shared" si="115"/>
        <v>0</v>
      </c>
      <c r="M205" s="185">
        <f t="shared" si="115"/>
        <v>6.8529211027168815</v>
      </c>
      <c r="N205" s="184">
        <f t="shared" si="115"/>
        <v>6.6472608876186845</v>
      </c>
      <c r="O205" s="184">
        <f t="shared" si="115"/>
        <v>6.5712992090263134</v>
      </c>
      <c r="P205" s="184">
        <f t="shared" si="115"/>
        <v>6.3746764630596253</v>
      </c>
      <c r="Q205" s="184">
        <f t="shared" si="115"/>
        <v>6.1520570365857434</v>
      </c>
      <c r="R205" s="184">
        <f t="shared" si="115"/>
        <v>0</v>
      </c>
    </row>
    <row r="206" spans="1:26" x14ac:dyDescent="0.25">
      <c r="C206" s="278"/>
      <c r="E206" s="7" t="s">
        <v>404</v>
      </c>
      <c r="G206" s="7" t="s">
        <v>235</v>
      </c>
      <c r="H206" s="185">
        <f xml:space="preserve"> SUM(J206:R206)</f>
        <v>0.8497498688872458</v>
      </c>
      <c r="I206" s="185"/>
      <c r="J206" s="184">
        <f t="shared" ref="J206:K206" si="116">J205-J204</f>
        <v>0</v>
      </c>
      <c r="K206" s="184">
        <f t="shared" si="116"/>
        <v>0</v>
      </c>
      <c r="L206" s="184">
        <f>L205-L204</f>
        <v>0</v>
      </c>
      <c r="M206" s="185">
        <f>M205-M204</f>
        <v>-2.5173339607847289E-2</v>
      </c>
      <c r="N206" s="184">
        <f t="shared" ref="N206:R206" si="117">N205-N204</f>
        <v>4.9146513913253642E-2</v>
      </c>
      <c r="O206" s="184">
        <f t="shared" si="117"/>
        <v>0.23439519175146994</v>
      </c>
      <c r="P206" s="184">
        <f t="shared" si="117"/>
        <v>0.28719696010703988</v>
      </c>
      <c r="Q206" s="184">
        <f t="shared" si="117"/>
        <v>0.30418454272332962</v>
      </c>
      <c r="R206" s="184">
        <f t="shared" si="117"/>
        <v>0</v>
      </c>
    </row>
    <row r="208" spans="1:26" x14ac:dyDescent="0.25">
      <c r="B208" s="61" t="s">
        <v>405</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InpR!E$108</f>
        <v>WACC real on RCV - CPI(H) bf and additions - WR</v>
      </c>
      <c r="F210" s="205">
        <f>InpR!F$108</f>
        <v>0</v>
      </c>
      <c r="G210" s="223" t="str">
        <f>InpR!G$108</f>
        <v>%</v>
      </c>
      <c r="H210" s="205" t="str">
        <f>InpR!I$108</f>
        <v>PR19 Financial model, 'Water Resources' sheet row 860</v>
      </c>
      <c r="I210" s="205" t="e">
        <f>InpR!#REF!</f>
        <v>#REF!</v>
      </c>
      <c r="J210" s="205">
        <f>InpR!J$108</f>
        <v>0</v>
      </c>
      <c r="K210" s="205">
        <f>InpR!K$108</f>
        <v>0</v>
      </c>
      <c r="L210" s="205">
        <f>InpR!L$108</f>
        <v>0</v>
      </c>
      <c r="M210" s="205">
        <f>InpR!M$108</f>
        <v>3.1200592500000068E-2</v>
      </c>
      <c r="N210" s="205">
        <f>InpR!N$108</f>
        <v>3.1200592500000068E-2</v>
      </c>
      <c r="O210" s="205">
        <f>InpR!O$108</f>
        <v>3.1200592500000068E-2</v>
      </c>
      <c r="P210" s="205">
        <f>InpR!P$108</f>
        <v>3.1200592500000068E-2</v>
      </c>
      <c r="Q210" s="205">
        <f>InpR!Q$108</f>
        <v>3.1200592500000068E-2</v>
      </c>
      <c r="R210" s="205">
        <f>InpR!R$108</f>
        <v>0</v>
      </c>
    </row>
    <row r="211" spans="1:18" x14ac:dyDescent="0.25">
      <c r="E211" s="7" t="s">
        <v>406</v>
      </c>
      <c r="G211" s="7" t="s">
        <v>407</v>
      </c>
      <c r="J211" s="255">
        <f xml:space="preserve"> (1 + J$210) ^ J$209</f>
        <v>1</v>
      </c>
      <c r="K211" s="255">
        <f t="shared" ref="K211:R211" si="118" xml:space="preserve"> (1 + K$210) ^ K$209</f>
        <v>1</v>
      </c>
      <c r="L211" s="255">
        <f t="shared" si="118"/>
        <v>1</v>
      </c>
      <c r="M211" s="255">
        <f t="shared" si="118"/>
        <v>1.1307656717248122</v>
      </c>
      <c r="N211" s="255">
        <f t="shared" si="118"/>
        <v>1.0965525814753758</v>
      </c>
      <c r="O211" s="255">
        <f t="shared" si="118"/>
        <v>1.0633746619723512</v>
      </c>
      <c r="P211" s="255">
        <f t="shared" si="118"/>
        <v>1.0312005925000001</v>
      </c>
      <c r="Q211" s="255">
        <f t="shared" si="118"/>
        <v>1</v>
      </c>
      <c r="R211" s="255">
        <f t="shared" si="118"/>
        <v>1</v>
      </c>
    </row>
    <row r="213" spans="1:18" x14ac:dyDescent="0.25">
      <c r="B213" s="61" t="s">
        <v>408</v>
      </c>
    </row>
    <row r="214" spans="1:18" x14ac:dyDescent="0.25">
      <c r="E214" s="7" t="str">
        <f>E$198</f>
        <v>Value of True up run-off - real</v>
      </c>
      <c r="F214" s="184">
        <f t="shared" ref="F214:R214" si="119">F$198</f>
        <v>0</v>
      </c>
      <c r="G214" s="7" t="str">
        <f t="shared" si="119"/>
        <v>£m</v>
      </c>
      <c r="H214" s="247">
        <f t="shared" si="119"/>
        <v>0.59170089949833571</v>
      </c>
      <c r="I214" s="247">
        <f t="shared" si="119"/>
        <v>0</v>
      </c>
      <c r="J214" s="184">
        <f t="shared" si="119"/>
        <v>0</v>
      </c>
      <c r="K214" s="184">
        <f t="shared" si="119"/>
        <v>0</v>
      </c>
      <c r="L214" s="184">
        <f t="shared" si="119"/>
        <v>0</v>
      </c>
      <c r="M214" s="185">
        <f t="shared" si="119"/>
        <v>-1.7528790806223604E-2</v>
      </c>
      <c r="N214" s="184">
        <f t="shared" si="119"/>
        <v>3.4221878171939224E-2</v>
      </c>
      <c r="O214" s="184">
        <f t="shared" si="119"/>
        <v>0.16321490696909091</v>
      </c>
      <c r="P214" s="184">
        <f t="shared" si="119"/>
        <v>0.19998202512352758</v>
      </c>
      <c r="Q214" s="184">
        <f t="shared" si="119"/>
        <v>0.21181088004000159</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1.1307656717248122</v>
      </c>
      <c r="N215" s="184">
        <f t="shared" si="120"/>
        <v>1.0965525814753758</v>
      </c>
      <c r="O215" s="184">
        <f t="shared" si="120"/>
        <v>1.0633746619723512</v>
      </c>
      <c r="P215" s="184">
        <f t="shared" si="120"/>
        <v>1.0312005925000001</v>
      </c>
      <c r="Q215" s="184">
        <f t="shared" si="120"/>
        <v>1</v>
      </c>
      <c r="R215" s="184">
        <f t="shared" si="120"/>
        <v>1</v>
      </c>
    </row>
    <row r="216" spans="1:18" s="34" customFormat="1" x14ac:dyDescent="0.25">
      <c r="A216" s="265"/>
      <c r="B216" s="266"/>
      <c r="C216" s="267"/>
      <c r="D216" s="268"/>
      <c r="E216" s="34" t="s">
        <v>409</v>
      </c>
      <c r="G216" s="34" t="s">
        <v>235</v>
      </c>
      <c r="H216" s="271">
        <f xml:space="preserve"> SUM(J216:R216)</f>
        <v>0.60929619330569151</v>
      </c>
      <c r="J216" s="271">
        <f xml:space="preserve"> J214 * J215</f>
        <v>0</v>
      </c>
      <c r="K216" s="271">
        <f t="shared" ref="K216:R216" si="121" xml:space="preserve"> K214 * K215</f>
        <v>0</v>
      </c>
      <c r="L216" s="271">
        <f t="shared" si="121"/>
        <v>0</v>
      </c>
      <c r="M216" s="277">
        <f t="shared" si="121"/>
        <v>-1.9820954910523148E-2</v>
      </c>
      <c r="N216" s="271">
        <f t="shared" si="121"/>
        <v>3.7526088852375773E-2</v>
      </c>
      <c r="O216" s="271">
        <f t="shared" si="121"/>
        <v>0.17355859652710579</v>
      </c>
      <c r="P216" s="271">
        <f t="shared" si="121"/>
        <v>0.20622158279673156</v>
      </c>
      <c r="Q216" s="271">
        <f t="shared" si="121"/>
        <v>0.21181088004000159</v>
      </c>
      <c r="R216" s="271">
        <f t="shared" si="121"/>
        <v>0</v>
      </c>
    </row>
    <row r="218" spans="1:18" x14ac:dyDescent="0.25">
      <c r="B218" s="61" t="s">
        <v>410</v>
      </c>
    </row>
    <row r="219" spans="1:18" x14ac:dyDescent="0.25">
      <c r="E219" s="7" t="str">
        <f>E202</f>
        <v>Value of True up return - real</v>
      </c>
      <c r="F219" s="184">
        <f t="shared" ref="F219:R219" si="122">F202</f>
        <v>0</v>
      </c>
      <c r="G219" s="7" t="str">
        <f t="shared" si="122"/>
        <v>£m</v>
      </c>
      <c r="H219" s="247">
        <f t="shared" si="122"/>
        <v>0.25804896938891075</v>
      </c>
      <c r="I219" s="247">
        <f t="shared" si="122"/>
        <v>0</v>
      </c>
      <c r="J219" s="184">
        <f t="shared" si="122"/>
        <v>0</v>
      </c>
      <c r="K219" s="184">
        <f t="shared" si="122"/>
        <v>0</v>
      </c>
      <c r="L219" s="184">
        <f t="shared" si="122"/>
        <v>0</v>
      </c>
      <c r="M219" s="185">
        <f t="shared" si="122"/>
        <v>-7.6445488016241292E-3</v>
      </c>
      <c r="N219" s="184">
        <f t="shared" si="122"/>
        <v>1.492463574131575E-2</v>
      </c>
      <c r="O219" s="184">
        <f t="shared" si="122"/>
        <v>7.1180284782378367E-2</v>
      </c>
      <c r="P219" s="184">
        <f t="shared" si="122"/>
        <v>8.7214934983513182E-2</v>
      </c>
      <c r="Q219" s="184">
        <f t="shared" si="122"/>
        <v>9.2373662683327584E-2</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1.1307656717248122</v>
      </c>
      <c r="N220" s="184">
        <f t="shared" si="123"/>
        <v>1.0965525814753758</v>
      </c>
      <c r="O220" s="184">
        <f t="shared" si="123"/>
        <v>1.0633746619723512</v>
      </c>
      <c r="P220" s="184">
        <f t="shared" si="123"/>
        <v>1.0312005925000001</v>
      </c>
      <c r="Q220" s="184">
        <f t="shared" si="123"/>
        <v>1</v>
      </c>
      <c r="R220" s="184">
        <f t="shared" si="123"/>
        <v>1</v>
      </c>
    </row>
    <row r="221" spans="1:18" s="34" customFormat="1" x14ac:dyDescent="0.25">
      <c r="A221" s="265"/>
      <c r="B221" s="266"/>
      <c r="C221" s="267"/>
      <c r="D221" s="268"/>
      <c r="E221" s="34" t="s">
        <v>411</v>
      </c>
      <c r="G221" s="34" t="s">
        <v>235</v>
      </c>
      <c r="H221" s="271">
        <f xml:space="preserve"> SUM(J221:R221)</f>
        <v>0.26572252107175048</v>
      </c>
      <c r="J221" s="271">
        <f xml:space="preserve"> J219 * J220</f>
        <v>0</v>
      </c>
      <c r="K221" s="271">
        <f t="shared" ref="K221:M221" si="124" xml:space="preserve"> K219 * K220</f>
        <v>0</v>
      </c>
      <c r="L221" s="271">
        <f t="shared" si="124"/>
        <v>0</v>
      </c>
      <c r="M221" s="277">
        <f t="shared" si="124"/>
        <v>-8.6441933607016175E-3</v>
      </c>
      <c r="N221" s="271">
        <f xml:space="preserve"> N219 * N220</f>
        <v>1.6365647849719445E-2</v>
      </c>
      <c r="O221" s="271">
        <f t="shared" ref="O221:R221" si="125" xml:space="preserve"> O219 * O220</f>
        <v>7.569131126955729E-2</v>
      </c>
      <c r="P221" s="271">
        <f t="shared" si="125"/>
        <v>8.993609262984778E-2</v>
      </c>
      <c r="Q221" s="271">
        <f t="shared" si="125"/>
        <v>9.2373662683327584E-2</v>
      </c>
      <c r="R221" s="271">
        <f t="shared" si="125"/>
        <v>0</v>
      </c>
    </row>
    <row r="223" spans="1:18" ht="12.9" x14ac:dyDescent="0.25">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62" priority="6" stopIfTrue="1" operator="notEqual">
      <formula>0</formula>
    </cfRule>
    <cfRule type="cellIs" dxfId="61" priority="7" stopIfTrue="1" operator="equal">
      <formula>""</formula>
    </cfRule>
  </conditionalFormatting>
  <conditionalFormatting sqref="J3:Z3">
    <cfRule type="cellIs" dxfId="60" priority="8" operator="equal">
      <formula>"Post-Fcst"</formula>
    </cfRule>
    <cfRule type="cellIs" dxfId="59" priority="9" operator="equal">
      <formula>"Forecast"</formula>
    </cfRule>
    <cfRule type="cellIs" dxfId="58" priority="10" operator="equal">
      <formula>"Pre Fcst"</formula>
    </cfRule>
  </conditionalFormatting>
  <conditionalFormatting sqref="F2">
    <cfRule type="cellIs" dxfId="57" priority="4" stopIfTrue="1" operator="notEqual">
      <formula>0</formula>
    </cfRule>
    <cfRule type="cellIs" dxfId="56" priority="5" stopIfTrue="1" operator="equal">
      <formula>""</formula>
    </cfRule>
  </conditionalFormatting>
  <conditionalFormatting sqref="F165">
    <cfRule type="cellIs" dxfId="55" priority="2" stopIfTrue="1" operator="notEqual">
      <formula>0</formula>
    </cfRule>
    <cfRule type="cellIs" dxfId="54"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45"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25" x14ac:dyDescent="0.45">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ht="12.9" x14ac:dyDescent="0.25">
      <c r="A8" s="285" t="s">
        <v>344</v>
      </c>
      <c r="B8" s="286"/>
      <c r="C8" s="287"/>
      <c r="D8" s="287"/>
      <c r="E8" s="287"/>
      <c r="F8" s="287"/>
      <c r="G8" s="287"/>
      <c r="H8" s="287"/>
      <c r="I8" s="287"/>
      <c r="J8" s="287"/>
      <c r="K8" s="287"/>
      <c r="L8" s="287"/>
      <c r="M8" s="287"/>
      <c r="N8" s="287"/>
      <c r="O8" s="287"/>
      <c r="P8" s="287"/>
      <c r="Q8" s="287"/>
      <c r="R8" s="287"/>
    </row>
    <row r="10" spans="1:26" x14ac:dyDescent="0.25">
      <c r="C10" s="110" t="s">
        <v>345</v>
      </c>
    </row>
    <row r="12" spans="1:26" x14ac:dyDescent="0.25">
      <c r="B12" s="61" t="s">
        <v>346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349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1412.917700349386</v>
      </c>
      <c r="N22" s="241">
        <f t="shared" si="3"/>
        <v>1390.6071648852089</v>
      </c>
      <c r="O22" s="241">
        <f t="shared" si="3"/>
        <v>1375.7704594589495</v>
      </c>
      <c r="P22" s="241">
        <f t="shared" si="3"/>
        <v>1363.625005482972</v>
      </c>
      <c r="Q22" s="241">
        <f t="shared" si="3"/>
        <v>1352.2371003371836</v>
      </c>
      <c r="R22" s="241">
        <f t="shared" si="3"/>
        <v>1340.9442978648476</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350</v>
      </c>
      <c r="G24" s="91" t="s">
        <v>235</v>
      </c>
      <c r="J24" s="184">
        <f>J22*J23</f>
        <v>0</v>
      </c>
      <c r="K24" s="184">
        <f t="shared" ref="K24:R24" si="5">K22*K23</f>
        <v>0</v>
      </c>
      <c r="L24" s="184">
        <f t="shared" si="5"/>
        <v>0</v>
      </c>
      <c r="M24" s="184">
        <f>M22*M23</f>
        <v>34.274686876349342</v>
      </c>
      <c r="N24" s="184">
        <f t="shared" si="5"/>
        <v>41.144796254295215</v>
      </c>
      <c r="O24" s="184">
        <f t="shared" si="5"/>
        <v>43.341836808062745</v>
      </c>
      <c r="P24" s="184">
        <f t="shared" si="5"/>
        <v>43.636000175456054</v>
      </c>
      <c r="Q24" s="184">
        <f t="shared" si="5"/>
        <v>43.271587210789612</v>
      </c>
      <c r="R24" s="184">
        <f t="shared" si="5"/>
        <v>40.228328935945164</v>
      </c>
      <c r="S24" s="92"/>
      <c r="T24" s="92"/>
      <c r="U24" s="92"/>
      <c r="V24" s="92"/>
      <c r="W24" s="92"/>
      <c r="X24" s="92"/>
      <c r="Y24" s="92"/>
      <c r="Z24" s="92"/>
    </row>
    <row r="26" spans="1:16383" s="205" customFormat="1" x14ac:dyDescent="0.25">
      <c r="A26" s="201"/>
      <c r="B26" s="202"/>
      <c r="C26" s="203"/>
      <c r="D26" s="204"/>
      <c r="E26" s="37" t="str">
        <f xml:space="preserve"> InpR!E$95</f>
        <v>Run-off rate - CPI(H) + RPI wedge - active - WN</v>
      </c>
      <c r="F26" s="205">
        <f xml:space="preserve"> InpR!F$95</f>
        <v>0</v>
      </c>
      <c r="G26" s="223" t="str">
        <f xml:space="preserve"> InpR!G$95</f>
        <v>%</v>
      </c>
      <c r="H26" s="205" t="str">
        <f xml:space="preserve"> InpR!I$95</f>
        <v>PR19 Financial model, 'F_OutputsMaster' sheet row 956, PR19FM2093POST</v>
      </c>
      <c r="I26" s="205" t="e">
        <f xml:space="preserve"> InpR!#REF!</f>
        <v>#REF!</v>
      </c>
      <c r="J26" s="205">
        <f xml:space="preserve"> InpR!J$95</f>
        <v>0</v>
      </c>
      <c r="K26" s="205">
        <f xml:space="preserve"> InpR!K$95</f>
        <v>0</v>
      </c>
      <c r="L26" s="205">
        <f xml:space="preserve"> InpR!L$95</f>
        <v>0</v>
      </c>
      <c r="M26" s="205">
        <f xml:space="preserve"> InpR!M$95</f>
        <v>3.9100000000000003E-2</v>
      </c>
      <c r="N26" s="205">
        <f xml:space="preserve"> InpR!N$95</f>
        <v>3.9100000000000003E-2</v>
      </c>
      <c r="O26" s="205">
        <f xml:space="preserve"> InpR!O$95</f>
        <v>3.9100000000000003E-2</v>
      </c>
      <c r="P26" s="205">
        <f xml:space="preserve"> InpR!P$95</f>
        <v>3.9100000000000003E-2</v>
      </c>
      <c r="Q26" s="205">
        <f xml:space="preserve"> InpR!Q$95</f>
        <v>3.9100000000000003E-2</v>
      </c>
      <c r="R26" s="205">
        <f xml:space="preserve"> InpR!R$95</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1412.917700349386</v>
      </c>
      <c r="N27" s="241">
        <f t="shared" si="6"/>
        <v>1390.6071648852089</v>
      </c>
      <c r="O27" s="241">
        <f t="shared" si="6"/>
        <v>1375.7704594589495</v>
      </c>
      <c r="P27" s="241">
        <f t="shared" si="6"/>
        <v>1363.625005482972</v>
      </c>
      <c r="Q27" s="241">
        <f t="shared" si="6"/>
        <v>1352.2371003371836</v>
      </c>
      <c r="R27" s="241">
        <f t="shared" si="6"/>
        <v>1340.9442978648476</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34.274686876349342</v>
      </c>
      <c r="N28" s="184">
        <f t="shared" si="7"/>
        <v>41.144796254295215</v>
      </c>
      <c r="O28" s="184">
        <f t="shared" si="7"/>
        <v>43.341836808062745</v>
      </c>
      <c r="P28" s="184">
        <f t="shared" si="7"/>
        <v>43.636000175456054</v>
      </c>
      <c r="Q28" s="184">
        <f t="shared" si="7"/>
        <v>43.271587210789612</v>
      </c>
      <c r="R28" s="184">
        <f t="shared" si="7"/>
        <v>40.228328935945164</v>
      </c>
    </row>
    <row r="29" spans="1:16383" x14ac:dyDescent="0.25">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56.585222340526251</v>
      </c>
      <c r="N29" s="184">
        <f t="shared" si="8"/>
        <v>55.981501680554615</v>
      </c>
      <c r="O29" s="184">
        <f t="shared" si="8"/>
        <v>55.487290784040184</v>
      </c>
      <c r="P29" s="184">
        <f t="shared" si="8"/>
        <v>55.023905321244541</v>
      </c>
      <c r="Q29" s="184">
        <f t="shared" si="8"/>
        <v>54.564389683125761</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InpR!$E$88</f>
        <v>RCV - CPI(H) + RPI wedge initial balance - nominal - WN</v>
      </c>
      <c r="F31" s="250">
        <f>InpR!$F$88</f>
        <v>1412.917700349386</v>
      </c>
      <c r="G31" s="250" t="str">
        <f>InpR!$G$88</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352</v>
      </c>
      <c r="G34" s="92" t="s">
        <v>235</v>
      </c>
      <c r="J34" s="242">
        <f t="shared" ref="J34:R34" si="9" xml:space="preserve"> I37</f>
        <v>0</v>
      </c>
      <c r="K34" s="242">
        <f t="shared" si="9"/>
        <v>0</v>
      </c>
      <c r="L34" s="242">
        <f t="shared" si="9"/>
        <v>0</v>
      </c>
      <c r="M34" s="242">
        <f t="shared" si="9"/>
        <v>1412.917700349386</v>
      </c>
      <c r="N34" s="242">
        <f t="shared" si="9"/>
        <v>1390.6071648852089</v>
      </c>
      <c r="O34" s="242">
        <f t="shared" si="9"/>
        <v>1375.7704594589495</v>
      </c>
      <c r="P34" s="242">
        <f t="shared" si="9"/>
        <v>1363.625005482972</v>
      </c>
      <c r="Q34" s="242">
        <f t="shared" si="9"/>
        <v>1352.2371003371836</v>
      </c>
      <c r="R34" s="242">
        <f t="shared" si="9"/>
        <v>1340.9442978648476</v>
      </c>
    </row>
    <row r="35" spans="1:26" x14ac:dyDescent="0.25">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34.274686876349342</v>
      </c>
      <c r="N35" s="242">
        <f t="shared" si="10"/>
        <v>41.144796254295215</v>
      </c>
      <c r="O35" s="242">
        <f t="shared" si="10"/>
        <v>43.341836808062745</v>
      </c>
      <c r="P35" s="242">
        <f t="shared" si="10"/>
        <v>43.636000175456054</v>
      </c>
      <c r="Q35" s="242">
        <f t="shared" si="10"/>
        <v>43.271587210789612</v>
      </c>
      <c r="R35" s="242">
        <f t="shared" si="10"/>
        <v>40.228328935945164</v>
      </c>
    </row>
    <row r="36" spans="1:26" x14ac:dyDescent="0.25">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56.585222340526251</v>
      </c>
      <c r="N36" s="242">
        <f t="shared" si="11"/>
        <v>55.981501680554615</v>
      </c>
      <c r="O36" s="242">
        <f t="shared" si="11"/>
        <v>55.487290784040184</v>
      </c>
      <c r="P36" s="242">
        <f t="shared" si="11"/>
        <v>55.023905321244541</v>
      </c>
      <c r="Q36" s="242">
        <f t="shared" si="11"/>
        <v>54.564389683125761</v>
      </c>
      <c r="R36" s="242">
        <f t="shared" si="11"/>
        <v>0</v>
      </c>
    </row>
    <row r="37" spans="1:26" s="138" customFormat="1" x14ac:dyDescent="0.25">
      <c r="A37" s="134"/>
      <c r="B37" s="135"/>
      <c r="C37" s="136"/>
      <c r="D37" s="137"/>
      <c r="E37" s="138" t="s">
        <v>355</v>
      </c>
      <c r="G37" s="163" t="s">
        <v>235</v>
      </c>
      <c r="J37" s="243">
        <f t="shared" ref="J37:R37" si="12" xml:space="preserve"> IF( J32 = 1, $F31, J34 + J35 - J36)</f>
        <v>0</v>
      </c>
      <c r="K37" s="243">
        <f t="shared" si="12"/>
        <v>0</v>
      </c>
      <c r="L37" s="243">
        <f t="shared" si="12"/>
        <v>1412.917700349386</v>
      </c>
      <c r="M37" s="243">
        <f t="shared" si="12"/>
        <v>1390.6071648852089</v>
      </c>
      <c r="N37" s="243">
        <f t="shared" si="12"/>
        <v>1375.7704594589495</v>
      </c>
      <c r="O37" s="243">
        <f t="shared" si="12"/>
        <v>1363.625005482972</v>
      </c>
      <c r="P37" s="243">
        <f t="shared" si="12"/>
        <v>1352.2371003371836</v>
      </c>
      <c r="Q37" s="243">
        <f t="shared" si="12"/>
        <v>1340.9442978648476</v>
      </c>
      <c r="R37" s="243">
        <f t="shared" si="12"/>
        <v>1381.1726268007928</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1412.917700349386</v>
      </c>
      <c r="N39" s="185">
        <f t="shared" si="13"/>
        <v>1390.6071648852089</v>
      </c>
      <c r="O39" s="185">
        <f t="shared" si="13"/>
        <v>1375.7704594589495</v>
      </c>
      <c r="P39" s="185">
        <f t="shared" si="13"/>
        <v>1363.625005482972</v>
      </c>
      <c r="Q39" s="185">
        <f t="shared" si="13"/>
        <v>1352.2371003371836</v>
      </c>
      <c r="R39" s="185">
        <f t="shared" si="13"/>
        <v>1340.9442978648476</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34.274686876349342</v>
      </c>
      <c r="N40" s="242">
        <f t="shared" si="14"/>
        <v>41.144796254295215</v>
      </c>
      <c r="O40" s="242">
        <f t="shared" si="14"/>
        <v>43.341836808062745</v>
      </c>
      <c r="P40" s="242">
        <f t="shared" si="14"/>
        <v>43.636000175456054</v>
      </c>
      <c r="Q40" s="242">
        <f t="shared" si="14"/>
        <v>43.271587210789612</v>
      </c>
      <c r="R40" s="242">
        <f t="shared" si="14"/>
        <v>40.228328935945164</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1412.917700349386</v>
      </c>
      <c r="M41" s="185">
        <f t="shared" si="15"/>
        <v>1390.6071648852089</v>
      </c>
      <c r="N41" s="185">
        <f t="shared" si="15"/>
        <v>1375.7704594589495</v>
      </c>
      <c r="O41" s="185">
        <f t="shared" si="15"/>
        <v>1363.625005482972</v>
      </c>
      <c r="P41" s="185">
        <f t="shared" si="15"/>
        <v>1352.2371003371836</v>
      </c>
      <c r="Q41" s="185">
        <f t="shared" si="15"/>
        <v>1340.9442978648476</v>
      </c>
      <c r="R41" s="185">
        <f t="shared" si="15"/>
        <v>1381.1726268007928</v>
      </c>
    </row>
    <row r="42" spans="1:26" s="92" customFormat="1" x14ac:dyDescent="0.25">
      <c r="A42" s="164"/>
      <c r="B42" s="165"/>
      <c r="C42" s="166"/>
      <c r="D42" s="167"/>
      <c r="E42" s="92" t="s">
        <v>356</v>
      </c>
      <c r="G42" s="92" t="s">
        <v>235</v>
      </c>
      <c r="J42" s="185">
        <f t="shared" ref="J42:L42" si="16" xml:space="preserve"> ( (J39+J40) + J41) / 2</f>
        <v>0</v>
      </c>
      <c r="K42" s="185">
        <f t="shared" si="16"/>
        <v>0</v>
      </c>
      <c r="L42" s="185">
        <f t="shared" si="16"/>
        <v>706.458850174693</v>
      </c>
      <c r="M42" s="185">
        <f xml:space="preserve"> ( (M39+M40) + M41) / 2</f>
        <v>1418.8997760554721</v>
      </c>
      <c r="N42" s="185">
        <f t="shared" ref="N42:R42" si="17" xml:space="preserve"> ( (N39+N40) + N41) / 2</f>
        <v>1403.7612102992268</v>
      </c>
      <c r="O42" s="185">
        <f t="shared" si="17"/>
        <v>1391.368650874992</v>
      </c>
      <c r="P42" s="185">
        <f t="shared" si="17"/>
        <v>1379.7490529978058</v>
      </c>
      <c r="Q42" s="185">
        <f t="shared" si="17"/>
        <v>1368.2264927064105</v>
      </c>
      <c r="R42" s="185">
        <f t="shared" si="17"/>
        <v>1381.1726268007928</v>
      </c>
    </row>
    <row r="43" spans="1:26" s="92" customFormat="1" x14ac:dyDescent="0.25">
      <c r="A43" s="164"/>
      <c r="B43" s="165"/>
      <c r="C43" s="166"/>
      <c r="D43" s="167"/>
    </row>
    <row r="44" spans="1:26" x14ac:dyDescent="0.25">
      <c r="B44" s="61" t="s">
        <v>357</v>
      </c>
    </row>
    <row r="45" spans="1:26" s="205" customFormat="1" x14ac:dyDescent="0.25">
      <c r="A45" s="201"/>
      <c r="B45" s="202"/>
      <c r="C45" s="203"/>
      <c r="D45" s="204"/>
      <c r="E45" s="205" t="str">
        <f xml:space="preserve"> InpR!E$102</f>
        <v>WACC on RCV - CPI(H) + RPI wedge bf and additions - WN</v>
      </c>
      <c r="F45" s="205">
        <f xml:space="preserve"> InpR!F$102</f>
        <v>0</v>
      </c>
      <c r="G45" s="223" t="str">
        <f xml:space="preserve"> InpR!G$102</f>
        <v>%</v>
      </c>
      <c r="H45" s="205" t="str">
        <f xml:space="preserve"> InpR!I$102</f>
        <v>PR19 Financial model, 'Water Network' sheet row 980</v>
      </c>
      <c r="I45" s="205" t="e">
        <f xml:space="preserve"> InpR!#REF!</f>
        <v>#REF!</v>
      </c>
      <c r="J45" s="205">
        <f xml:space="preserve"> InpR!J$102</f>
        <v>0</v>
      </c>
      <c r="K45" s="205">
        <f xml:space="preserve"> InpR!K$102</f>
        <v>0</v>
      </c>
      <c r="L45" s="205">
        <f xml:space="preserve"> InpR!L$102</f>
        <v>0</v>
      </c>
      <c r="M45" s="205">
        <f xml:space="preserve"> InpR!M$102</f>
        <v>2.2181345335277269E-2</v>
      </c>
      <c r="N45" s="205">
        <f xml:space="preserve"> InpR!N$102</f>
        <v>2.2181345335277269E-2</v>
      </c>
      <c r="O45" s="205">
        <f xml:space="preserve"> InpR!O$102</f>
        <v>2.2181345335277269E-2</v>
      </c>
      <c r="P45" s="205">
        <f xml:space="preserve"> InpR!P$102</f>
        <v>2.2181345335277269E-2</v>
      </c>
      <c r="Q45" s="205">
        <f xml:space="preserve"> InpR!Q$102</f>
        <v>2.2181345335277269E-2</v>
      </c>
      <c r="R45" s="205">
        <f xml:space="preserve"> InpR!R$102</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706.458850174693</v>
      </c>
      <c r="M47" s="184">
        <f t="shared" si="18"/>
        <v>1418.8997760554721</v>
      </c>
      <c r="N47" s="184">
        <f t="shared" si="18"/>
        <v>1403.7612102992268</v>
      </c>
      <c r="O47" s="184">
        <f t="shared" si="18"/>
        <v>1391.368650874992</v>
      </c>
      <c r="P47" s="184">
        <f t="shared" si="18"/>
        <v>1379.7490529978058</v>
      </c>
      <c r="Q47" s="184">
        <f t="shared" si="18"/>
        <v>1368.2264927064105</v>
      </c>
      <c r="R47" s="184">
        <f t="shared" si="18"/>
        <v>1381.1726268007928</v>
      </c>
      <c r="S47" s="92"/>
      <c r="T47" s="92"/>
      <c r="U47" s="92"/>
      <c r="V47" s="92"/>
      <c r="W47" s="92"/>
      <c r="X47" s="92"/>
      <c r="Y47" s="92"/>
      <c r="Z47" s="92"/>
    </row>
    <row r="48" spans="1:26" s="91" customFormat="1" x14ac:dyDescent="0.25">
      <c r="A48" s="170"/>
      <c r="B48" s="165"/>
      <c r="C48" s="166"/>
      <c r="D48" s="171"/>
      <c r="E48" s="172" t="s">
        <v>358</v>
      </c>
      <c r="G48" s="91" t="s">
        <v>235</v>
      </c>
      <c r="H48" s="184"/>
      <c r="I48" s="184"/>
      <c r="J48" s="184">
        <f t="shared" ref="J48:K48" si="19">J45*J47*J46</f>
        <v>0</v>
      </c>
      <c r="K48" s="184">
        <f t="shared" si="19"/>
        <v>0</v>
      </c>
      <c r="L48" s="184">
        <f>L45*L47*L46</f>
        <v>0</v>
      </c>
      <c r="M48" s="184">
        <f>M45*M47*M46</f>
        <v>31.473105928834009</v>
      </c>
      <c r="N48" s="184">
        <f t="shared" ref="N48:R48" si="20">N45*N47*N46</f>
        <v>31.13731217391393</v>
      </c>
      <c r="O48" s="184">
        <f t="shared" si="20"/>
        <v>30.862428533737031</v>
      </c>
      <c r="P48" s="184">
        <f t="shared" si="20"/>
        <v>30.604690220566109</v>
      </c>
      <c r="Q48" s="184">
        <f t="shared" si="20"/>
        <v>30.349104331596116</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359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56.585222340526251</v>
      </c>
      <c r="N51" s="184">
        <f t="shared" si="21"/>
        <v>55.981501680554615</v>
      </c>
      <c r="O51" s="184">
        <f t="shared" si="21"/>
        <v>55.487290784040184</v>
      </c>
      <c r="P51" s="184">
        <f t="shared" si="21"/>
        <v>55.023905321244541</v>
      </c>
      <c r="Q51" s="184">
        <f t="shared" si="21"/>
        <v>54.564389683125761</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31.473105928834009</v>
      </c>
      <c r="N52" s="184">
        <f t="shared" si="22"/>
        <v>31.13731217391393</v>
      </c>
      <c r="O52" s="184">
        <f t="shared" si="22"/>
        <v>30.862428533737031</v>
      </c>
      <c r="P52" s="184">
        <f t="shared" si="22"/>
        <v>30.604690220566109</v>
      </c>
      <c r="Q52" s="184">
        <f t="shared" si="22"/>
        <v>30.349104331596116</v>
      </c>
      <c r="R52" s="184">
        <f t="shared" si="22"/>
        <v>0</v>
      </c>
      <c r="S52" s="92"/>
      <c r="T52" s="92"/>
      <c r="U52" s="92"/>
      <c r="V52" s="92"/>
      <c r="W52" s="92"/>
      <c r="X52" s="92"/>
      <c r="Y52" s="92"/>
      <c r="Z52" s="92"/>
    </row>
    <row r="53" spans="1:26" s="91" customFormat="1" x14ac:dyDescent="0.25">
      <c r="A53" s="170"/>
      <c r="B53" s="165"/>
      <c r="C53" s="166"/>
      <c r="D53" s="171"/>
      <c r="E53" s="172" t="s">
        <v>360</v>
      </c>
      <c r="G53" s="91" t="str">
        <f xml:space="preserve"> G$48</f>
        <v>£m</v>
      </c>
      <c r="H53" s="184">
        <f>SUM(J53:R53)</f>
        <v>432.06895099813858</v>
      </c>
      <c r="I53" s="184"/>
      <c r="J53" s="184">
        <f t="shared" ref="J53:R53" si="23">SUM(J51:J52)</f>
        <v>0</v>
      </c>
      <c r="K53" s="184">
        <f t="shared" si="23"/>
        <v>0</v>
      </c>
      <c r="L53" s="184">
        <f>SUM(L51:L52)</f>
        <v>0</v>
      </c>
      <c r="M53" s="185">
        <f t="shared" si="23"/>
        <v>88.05832826936026</v>
      </c>
      <c r="N53" s="185">
        <f t="shared" si="23"/>
        <v>87.118813854468542</v>
      </c>
      <c r="O53" s="184">
        <f t="shared" si="23"/>
        <v>86.349719317777215</v>
      </c>
      <c r="P53" s="184">
        <f t="shared" si="23"/>
        <v>85.628595541810654</v>
      </c>
      <c r="Q53" s="184">
        <f t="shared" si="23"/>
        <v>84.913494014721877</v>
      </c>
      <c r="R53" s="184">
        <f t="shared" si="23"/>
        <v>0</v>
      </c>
      <c r="S53" s="92"/>
      <c r="T53" s="92"/>
      <c r="U53" s="92"/>
      <c r="V53" s="92"/>
      <c r="W53" s="92"/>
      <c r="X53" s="92"/>
      <c r="Y53" s="92"/>
      <c r="Z53" s="92"/>
    </row>
    <row r="55" spans="1:26" ht="12.9" x14ac:dyDescent="0.25">
      <c r="A55" s="285" t="s">
        <v>361</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362</v>
      </c>
      <c r="M57" s="177"/>
      <c r="N57" s="177"/>
      <c r="O57" s="177"/>
      <c r="P57" s="177"/>
      <c r="Q57" s="177"/>
    </row>
    <row r="58" spans="1:26" x14ac:dyDescent="0.25">
      <c r="C58" s="110" t="s">
        <v>363</v>
      </c>
      <c r="M58" s="177"/>
      <c r="N58" s="177"/>
      <c r="O58" s="177"/>
      <c r="P58" s="177"/>
      <c r="Q58" s="177"/>
    </row>
    <row r="59" spans="1:26" x14ac:dyDescent="0.25">
      <c r="C59" s="110" t="s">
        <v>364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365</v>
      </c>
      <c r="G61" s="91" t="s">
        <v>235</v>
      </c>
      <c r="J61" s="184">
        <f t="shared" ref="J61:R61" si="24" xml:space="preserve"> J53</f>
        <v>0</v>
      </c>
      <c r="K61" s="184">
        <f t="shared" si="24"/>
        <v>0</v>
      </c>
      <c r="L61" s="184">
        <f t="shared" si="24"/>
        <v>0</v>
      </c>
      <c r="M61" s="184">
        <f t="shared" si="24"/>
        <v>88.05832826936026</v>
      </c>
      <c r="N61" s="184">
        <f t="shared" si="24"/>
        <v>87.118813854468542</v>
      </c>
      <c r="O61" s="184">
        <f t="shared" si="24"/>
        <v>86.349719317777215</v>
      </c>
      <c r="P61" s="184">
        <f t="shared" si="24"/>
        <v>85.628595541810654</v>
      </c>
      <c r="Q61" s="184">
        <f t="shared" si="24"/>
        <v>84.913494014721877</v>
      </c>
      <c r="R61" s="184">
        <f t="shared" si="24"/>
        <v>0</v>
      </c>
      <c r="S61" s="92"/>
      <c r="T61" s="92"/>
      <c r="U61" s="92"/>
      <c r="V61" s="92"/>
      <c r="W61" s="92"/>
      <c r="X61" s="92"/>
      <c r="Y61" s="92"/>
      <c r="Z61" s="92"/>
    </row>
    <row r="62" spans="1:26" x14ac:dyDescent="0.25">
      <c r="L62" s="247"/>
      <c r="M62" s="282"/>
      <c r="N62" s="282"/>
      <c r="O62" s="282"/>
      <c r="P62" s="282"/>
      <c r="Q62" s="282"/>
      <c r="R62" s="247"/>
    </row>
    <row r="63" spans="1:26" ht="12.9" x14ac:dyDescent="0.25">
      <c r="A63" s="285" t="s">
        <v>366</v>
      </c>
      <c r="B63" s="286"/>
      <c r="C63" s="287"/>
      <c r="D63" s="287"/>
      <c r="E63" s="287"/>
      <c r="F63" s="287"/>
      <c r="G63" s="287"/>
      <c r="H63" s="287"/>
      <c r="I63" s="287"/>
      <c r="J63" s="287"/>
      <c r="K63" s="287"/>
      <c r="L63" s="287"/>
      <c r="M63" s="287"/>
      <c r="N63" s="287"/>
      <c r="O63" s="287"/>
      <c r="P63" s="287"/>
      <c r="Q63" s="287"/>
      <c r="R63" s="287"/>
    </row>
    <row r="65" spans="1:16383" x14ac:dyDescent="0.25">
      <c r="C65" s="110" t="s">
        <v>367</v>
      </c>
    </row>
    <row r="67" spans="1:16383" x14ac:dyDescent="0.25">
      <c r="B67" s="61" t="s">
        <v>368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x14ac:dyDescent="0.25">
      <c r="A70" s="173"/>
      <c r="B70" s="174"/>
      <c r="C70" s="175"/>
      <c r="D70" s="176"/>
      <c r="E70" s="172" t="s">
        <v>369</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4.2140370430180152E-2</v>
      </c>
      <c r="Q70" s="172">
        <f t="shared" ref="Q70" si="31">SUM(Q68:Q69)</f>
        <v>3.6767846700548112E-2</v>
      </c>
      <c r="R70" s="172">
        <f t="shared" ref="R70" si="32">SUM(R68:R69)</f>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370</v>
      </c>
    </row>
    <row r="73" spans="1:16383" s="161" customFormat="1" x14ac:dyDescent="0.25">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1412.917700349386</v>
      </c>
      <c r="N73" s="241">
        <f t="shared" si="33"/>
        <v>1385.5176409311107</v>
      </c>
      <c r="O73" s="241">
        <f t="shared" si="33"/>
        <v>1386.0179814323028</v>
      </c>
      <c r="P73" s="241">
        <f t="shared" si="33"/>
        <v>1414.0640122544107</v>
      </c>
      <c r="Q73" s="241">
        <f t="shared" si="33"/>
        <v>1416.0333536752748</v>
      </c>
      <c r="R73" s="241">
        <f t="shared" si="33"/>
        <v>1410.6952249740791</v>
      </c>
    </row>
    <row r="74" spans="1:16383" s="172" customFormat="1" x14ac:dyDescent="0.25">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4.2140370430180152E-2</v>
      </c>
      <c r="Q74" s="172">
        <f t="shared" si="34"/>
        <v>3.6767846700548112E-2</v>
      </c>
      <c r="R74" s="172">
        <f t="shared" si="34"/>
        <v>1.999999999999913E-2</v>
      </c>
      <c r="S74" s="177"/>
      <c r="T74" s="177"/>
      <c r="U74" s="177"/>
      <c r="V74" s="177"/>
      <c r="W74" s="177"/>
      <c r="X74" s="177"/>
      <c r="Y74" s="177"/>
      <c r="Z74" s="177"/>
    </row>
    <row r="75" spans="1:16383" x14ac:dyDescent="0.25">
      <c r="E75" s="7" t="s">
        <v>371</v>
      </c>
      <c r="G75" s="162" t="s">
        <v>235</v>
      </c>
      <c r="J75" s="184">
        <f t="shared" ref="J75:L75" si="35">J73*J74</f>
        <v>0</v>
      </c>
      <c r="K75" s="184">
        <f t="shared" si="35"/>
        <v>0</v>
      </c>
      <c r="L75" s="184">
        <f t="shared" si="35"/>
        <v>0</v>
      </c>
      <c r="M75" s="184">
        <f>M73*M74</f>
        <v>28.97806500716586</v>
      </c>
      <c r="N75" s="184">
        <f t="shared" ref="N75:R75" si="36">N73*N74</f>
        <v>56.898824291391918</v>
      </c>
      <c r="O75" s="184">
        <f t="shared" si="36"/>
        <v>85.585736180779236</v>
      </c>
      <c r="P75" s="184">
        <f t="shared" si="36"/>
        <v>59.589181288387671</v>
      </c>
      <c r="Q75" s="184">
        <f t="shared" si="36"/>
        <v>52.064497270795535</v>
      </c>
      <c r="R75" s="184">
        <f t="shared" si="36"/>
        <v>28.213904499480353</v>
      </c>
    </row>
    <row r="77" spans="1:16383" s="205" customFormat="1" x14ac:dyDescent="0.25">
      <c r="A77" s="201"/>
      <c r="B77" s="202"/>
      <c r="C77" s="203"/>
      <c r="D77" s="204"/>
      <c r="E77" s="37" t="str">
        <f xml:space="preserve"> InpR!E$95</f>
        <v>Run-off rate - CPI(H) + RPI wedge - active - WN</v>
      </c>
      <c r="F77" s="205">
        <f xml:space="preserve"> InpR!F$95</f>
        <v>0</v>
      </c>
      <c r="G77" s="223" t="str">
        <f xml:space="preserve"> InpR!G$95</f>
        <v>%</v>
      </c>
      <c r="H77" s="205" t="str">
        <f xml:space="preserve"> InpR!I$95</f>
        <v>PR19 Financial model, 'F_OutputsMaster' sheet row 956, PR19FM2093POST</v>
      </c>
      <c r="I77" s="205" t="e">
        <f xml:space="preserve"> InpR!#REF!</f>
        <v>#REF!</v>
      </c>
      <c r="J77" s="205">
        <f xml:space="preserve"> InpR!J$95</f>
        <v>0</v>
      </c>
      <c r="K77" s="205">
        <f xml:space="preserve"> InpR!K$95</f>
        <v>0</v>
      </c>
      <c r="L77" s="205">
        <f xml:space="preserve"> InpR!L$95</f>
        <v>0</v>
      </c>
      <c r="M77" s="205">
        <f xml:space="preserve"> InpR!M$95</f>
        <v>3.9100000000000003E-2</v>
      </c>
      <c r="N77" s="205">
        <f xml:space="preserve"> InpR!N$95</f>
        <v>3.9100000000000003E-2</v>
      </c>
      <c r="O77" s="205">
        <f xml:space="preserve"> InpR!O$95</f>
        <v>3.9100000000000003E-2</v>
      </c>
      <c r="P77" s="205">
        <f xml:space="preserve"> InpR!P$95</f>
        <v>3.9100000000000003E-2</v>
      </c>
      <c r="Q77" s="205">
        <f xml:space="preserve"> InpR!Q$95</f>
        <v>3.9100000000000003E-2</v>
      </c>
      <c r="R77" s="205">
        <f xml:space="preserve"> InpR!R$95</f>
        <v>0</v>
      </c>
    </row>
    <row r="78" spans="1:16383" s="161" customFormat="1" x14ac:dyDescent="0.25">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1412.917700349386</v>
      </c>
      <c r="N78" s="241">
        <f t="shared" si="37"/>
        <v>1385.5176409311107</v>
      </c>
      <c r="O78" s="241">
        <f t="shared" si="37"/>
        <v>1386.0179814323028</v>
      </c>
      <c r="P78" s="241">
        <f t="shared" si="37"/>
        <v>1414.0640122544107</v>
      </c>
      <c r="Q78" s="241">
        <f t="shared" si="37"/>
        <v>1416.0333536752748</v>
      </c>
      <c r="R78" s="241">
        <f t="shared" si="37"/>
        <v>1410.6952249740791</v>
      </c>
    </row>
    <row r="79" spans="1:16383" x14ac:dyDescent="0.25">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28.97806500716586</v>
      </c>
      <c r="N79" s="184">
        <f t="shared" si="38"/>
        <v>56.898824291391918</v>
      </c>
      <c r="O79" s="184">
        <f t="shared" si="38"/>
        <v>85.585736180779236</v>
      </c>
      <c r="P79" s="184">
        <f t="shared" si="38"/>
        <v>59.589181288387671</v>
      </c>
      <c r="Q79" s="184">
        <f t="shared" si="38"/>
        <v>52.064497270795535</v>
      </c>
      <c r="R79" s="184">
        <f t="shared" si="38"/>
        <v>28.213904499480353</v>
      </c>
    </row>
    <row r="80" spans="1:16383" x14ac:dyDescent="0.25">
      <c r="E80" s="7" t="s">
        <v>372</v>
      </c>
      <c r="F80" s="244"/>
      <c r="G80" s="244" t="s">
        <v>235</v>
      </c>
      <c r="H80" s="244"/>
      <c r="I80" s="244"/>
      <c r="J80" s="184">
        <f t="shared" ref="J80" si="39" xml:space="preserve"> (J78+J79) * J77</f>
        <v>0</v>
      </c>
      <c r="K80" s="184">
        <f t="shared" ref="K80" si="40" xml:space="preserve"> (K78+K79) * K77</f>
        <v>0</v>
      </c>
      <c r="L80" s="184">
        <f t="shared" ref="L80:R80" si="41" xml:space="preserve"> (L78+L79) * L77</f>
        <v>0</v>
      </c>
      <c r="M80" s="184">
        <f t="shared" si="41"/>
        <v>56.378124425441186</v>
      </c>
      <c r="N80" s="184">
        <f xml:space="preserve"> (N78+N79) * N77</f>
        <v>56.398483790199862</v>
      </c>
      <c r="O80" s="184">
        <f t="shared" si="41"/>
        <v>57.539705358671519</v>
      </c>
      <c r="P80" s="184">
        <f t="shared" si="41"/>
        <v>57.619839867523417</v>
      </c>
      <c r="Q80" s="184">
        <f t="shared" si="41"/>
        <v>57.402625971991355</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InpR!$E$88</f>
        <v>RCV - CPI(H) + RPI wedge initial balance - nominal - WN</v>
      </c>
      <c r="F82" s="250">
        <f>InpR!$F$88</f>
        <v>1412.917700349386</v>
      </c>
      <c r="G82" s="250" t="str">
        <f>InpR!$G$88</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373</v>
      </c>
      <c r="G85" s="162" t="s">
        <v>235</v>
      </c>
      <c r="J85" s="242">
        <f t="shared" ref="J85" si="42" xml:space="preserve"> I88</f>
        <v>0</v>
      </c>
      <c r="K85" s="242">
        <f t="shared" ref="K85" si="43" xml:space="preserve"> J88</f>
        <v>0</v>
      </c>
      <c r="L85" s="242">
        <f t="shared" ref="L85" si="44" xml:space="preserve"> K88</f>
        <v>0</v>
      </c>
      <c r="M85" s="242">
        <f t="shared" ref="M85" si="45" xml:space="preserve"> L88</f>
        <v>1412.917700349386</v>
      </c>
      <c r="N85" s="242">
        <f t="shared" ref="N85" si="46" xml:space="preserve"> M88</f>
        <v>1385.5176409311107</v>
      </c>
      <c r="O85" s="242">
        <f t="shared" ref="O85" si="47" xml:space="preserve"> N88</f>
        <v>1386.0179814323028</v>
      </c>
      <c r="P85" s="242">
        <f t="shared" ref="P85" si="48" xml:space="preserve"> O88</f>
        <v>1414.0640122544107</v>
      </c>
      <c r="Q85" s="242">
        <f t="shared" ref="Q85" si="49" xml:space="preserve"> P88</f>
        <v>1416.0333536752748</v>
      </c>
      <c r="R85" s="242">
        <f t="shared" ref="R85" si="50" xml:space="preserve"> Q88</f>
        <v>1410.6952249740791</v>
      </c>
    </row>
    <row r="86" spans="1:18" x14ac:dyDescent="0.25">
      <c r="A86" s="47"/>
      <c r="B86" s="51"/>
      <c r="C86" s="111"/>
      <c r="D86" s="56" t="s">
        <v>353</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28.97806500716586</v>
      </c>
      <c r="N86" s="242">
        <f t="shared" si="51"/>
        <v>56.898824291391918</v>
      </c>
      <c r="O86" s="242">
        <f t="shared" si="51"/>
        <v>85.585736180779236</v>
      </c>
      <c r="P86" s="242">
        <f t="shared" si="51"/>
        <v>59.589181288387671</v>
      </c>
      <c r="Q86" s="242">
        <f t="shared" si="51"/>
        <v>52.064497270795535</v>
      </c>
      <c r="R86" s="242">
        <f t="shared" si="51"/>
        <v>28.213904499480353</v>
      </c>
    </row>
    <row r="87" spans="1:18" x14ac:dyDescent="0.25">
      <c r="A87" s="47"/>
      <c r="B87" s="51"/>
      <c r="C87" s="111"/>
      <c r="D87" s="56" t="s">
        <v>354</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56.378124425441186</v>
      </c>
      <c r="N87" s="242">
        <f t="shared" si="52"/>
        <v>56.398483790199862</v>
      </c>
      <c r="O87" s="242">
        <f t="shared" si="52"/>
        <v>57.539705358671519</v>
      </c>
      <c r="P87" s="242">
        <f t="shared" si="52"/>
        <v>57.619839867523417</v>
      </c>
      <c r="Q87" s="242">
        <f t="shared" si="52"/>
        <v>57.402625971991355</v>
      </c>
      <c r="R87" s="242">
        <f t="shared" si="52"/>
        <v>0</v>
      </c>
    </row>
    <row r="88" spans="1:18" s="138" customFormat="1" x14ac:dyDescent="0.25">
      <c r="A88" s="134"/>
      <c r="B88" s="135"/>
      <c r="C88" s="136"/>
      <c r="D88" s="137"/>
      <c r="E88" s="138" t="s">
        <v>374</v>
      </c>
      <c r="G88" s="163" t="s">
        <v>235</v>
      </c>
      <c r="J88" s="243">
        <f t="shared" ref="J88:R88" si="53" xml:space="preserve"> IF( J83 = 1, $F82, J85 + J86 - J87)</f>
        <v>0</v>
      </c>
      <c r="K88" s="243">
        <f t="shared" si="53"/>
        <v>0</v>
      </c>
      <c r="L88" s="243">
        <f t="shared" si="53"/>
        <v>1412.917700349386</v>
      </c>
      <c r="M88" s="243">
        <f t="shared" si="53"/>
        <v>1385.5176409311107</v>
      </c>
      <c r="N88" s="243">
        <f t="shared" si="53"/>
        <v>1386.0179814323028</v>
      </c>
      <c r="O88" s="243">
        <f t="shared" si="53"/>
        <v>1414.0640122544107</v>
      </c>
      <c r="P88" s="243">
        <f t="shared" si="53"/>
        <v>1416.0333536752748</v>
      </c>
      <c r="Q88" s="243">
        <f t="shared" si="53"/>
        <v>1410.6952249740791</v>
      </c>
      <c r="R88" s="243">
        <f t="shared" si="53"/>
        <v>1438.9091294735595</v>
      </c>
    </row>
    <row r="90" spans="1:18" s="92" customFormat="1" x14ac:dyDescent="0.25">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1412.917700349386</v>
      </c>
      <c r="N90" s="185">
        <f t="shared" si="54"/>
        <v>1385.5176409311107</v>
      </c>
      <c r="O90" s="185">
        <f t="shared" si="54"/>
        <v>1386.0179814323028</v>
      </c>
      <c r="P90" s="185">
        <f t="shared" si="54"/>
        <v>1414.0640122544107</v>
      </c>
      <c r="Q90" s="185">
        <f t="shared" si="54"/>
        <v>1416.0333536752748</v>
      </c>
      <c r="R90" s="185">
        <f t="shared" si="54"/>
        <v>1410.6952249740791</v>
      </c>
    </row>
    <row r="91" spans="1:18" s="92" customFormat="1" x14ac:dyDescent="0.25">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28.97806500716586</v>
      </c>
      <c r="N91" s="242">
        <f t="shared" si="55"/>
        <v>56.898824291391918</v>
      </c>
      <c r="O91" s="242">
        <f t="shared" si="55"/>
        <v>85.585736180779236</v>
      </c>
      <c r="P91" s="242">
        <f t="shared" si="55"/>
        <v>59.589181288387671</v>
      </c>
      <c r="Q91" s="242">
        <f t="shared" si="55"/>
        <v>52.064497270795535</v>
      </c>
      <c r="R91" s="242">
        <f t="shared" si="55"/>
        <v>28.213904499480353</v>
      </c>
    </row>
    <row r="92" spans="1:18" s="92" customFormat="1" x14ac:dyDescent="0.25">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1412.917700349386</v>
      </c>
      <c r="M92" s="185">
        <f t="shared" si="56"/>
        <v>1385.5176409311107</v>
      </c>
      <c r="N92" s="185">
        <f t="shared" si="56"/>
        <v>1386.0179814323028</v>
      </c>
      <c r="O92" s="185">
        <f t="shared" si="56"/>
        <v>1414.0640122544107</v>
      </c>
      <c r="P92" s="185">
        <f t="shared" si="56"/>
        <v>1416.0333536752748</v>
      </c>
      <c r="Q92" s="185">
        <f t="shared" si="56"/>
        <v>1410.6952249740791</v>
      </c>
      <c r="R92" s="185">
        <f t="shared" si="56"/>
        <v>1438.9091294735595</v>
      </c>
    </row>
    <row r="93" spans="1:18" x14ac:dyDescent="0.25">
      <c r="A93" s="49"/>
      <c r="D93" s="57"/>
      <c r="E93" s="7" t="s">
        <v>375</v>
      </c>
      <c r="G93" s="92" t="s">
        <v>235</v>
      </c>
      <c r="H93" s="244"/>
      <c r="I93" s="244"/>
      <c r="J93" s="185">
        <f t="shared" ref="J93" si="57" xml:space="preserve"> ( (J90+J91) + J92) / 2</f>
        <v>0</v>
      </c>
      <c r="K93" s="185">
        <f t="shared" ref="K93" si="58" xml:space="preserve"> ( (K90+K91) + K92) / 2</f>
        <v>0</v>
      </c>
      <c r="L93" s="185">
        <f xml:space="preserve"> ( (L90+L91) + L92) / 2</f>
        <v>706.458850174693</v>
      </c>
      <c r="M93" s="185">
        <f xml:space="preserve"> ( (M90+M91) + M92) / 2</f>
        <v>1413.7067031438314</v>
      </c>
      <c r="N93" s="185">
        <f t="shared" ref="N93" si="59" xml:space="preserve"> ( (N90+N91) + N92) / 2</f>
        <v>1414.2172233274027</v>
      </c>
      <c r="O93" s="185">
        <f t="shared" ref="O93" si="60" xml:space="preserve"> ( (O90+O91) + O92) / 2</f>
        <v>1442.8338649337466</v>
      </c>
      <c r="P93" s="185">
        <f t="shared" ref="P93" si="61" xml:space="preserve"> ( (P90+P91) + P92) / 2</f>
        <v>1444.8432736090367</v>
      </c>
      <c r="Q93" s="185">
        <f xml:space="preserve"> ( (Q90+Q91) + Q92) / 2</f>
        <v>1439.3965379600747</v>
      </c>
      <c r="R93" s="185">
        <f t="shared" ref="R93" si="62" xml:space="preserve"> ( (R90+R91) + R92) / 2</f>
        <v>1438.9091294735595</v>
      </c>
    </row>
    <row r="94" spans="1:18" x14ac:dyDescent="0.25">
      <c r="A94" s="49"/>
      <c r="D94" s="57"/>
      <c r="J94" s="92"/>
      <c r="K94" s="92"/>
      <c r="L94" s="92"/>
      <c r="M94" s="92"/>
      <c r="N94" s="92"/>
      <c r="O94" s="92"/>
      <c r="P94" s="92"/>
      <c r="Q94" s="92"/>
      <c r="R94" s="92"/>
    </row>
    <row r="95" spans="1:18" x14ac:dyDescent="0.25">
      <c r="B95" s="61" t="s">
        <v>376</v>
      </c>
    </row>
    <row r="96" spans="1:18" s="205" customFormat="1" x14ac:dyDescent="0.25">
      <c r="A96" s="201"/>
      <c r="B96" s="202"/>
      <c r="C96" s="203"/>
      <c r="D96" s="204"/>
      <c r="E96" s="205" t="str">
        <f xml:space="preserve"> InpR!E$102</f>
        <v>WACC on RCV - CPI(H) + RPI wedge bf and additions - WN</v>
      </c>
      <c r="F96" s="205">
        <f xml:space="preserve"> InpR!F$102</f>
        <v>0</v>
      </c>
      <c r="G96" s="223" t="str">
        <f xml:space="preserve"> InpR!G$102</f>
        <v>%</v>
      </c>
      <c r="H96" s="205" t="str">
        <f xml:space="preserve"> InpR!I$102</f>
        <v>PR19 Financial model, 'Water Network' sheet row 980</v>
      </c>
      <c r="I96" s="205" t="e">
        <f xml:space="preserve"> InpR!#REF!</f>
        <v>#REF!</v>
      </c>
      <c r="J96" s="205">
        <f xml:space="preserve"> InpR!J$102</f>
        <v>0</v>
      </c>
      <c r="K96" s="205">
        <f xml:space="preserve"> InpR!K$102</f>
        <v>0</v>
      </c>
      <c r="L96" s="205">
        <f xml:space="preserve"> InpR!L$102</f>
        <v>0</v>
      </c>
      <c r="M96" s="205">
        <f xml:space="preserve"> InpR!M$102</f>
        <v>2.2181345335277269E-2</v>
      </c>
      <c r="N96" s="205">
        <f xml:space="preserve"> InpR!N$102</f>
        <v>2.2181345335277269E-2</v>
      </c>
      <c r="O96" s="205">
        <f xml:space="preserve"> InpR!O$102</f>
        <v>2.2181345335277269E-2</v>
      </c>
      <c r="P96" s="205">
        <f xml:space="preserve"> InpR!P$102</f>
        <v>2.2181345335277269E-2</v>
      </c>
      <c r="Q96" s="205">
        <f xml:space="preserve"> InpR!Q$102</f>
        <v>2.2181345335277269E-2</v>
      </c>
      <c r="R96" s="205">
        <f xml:space="preserve"> InpR!R$102</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706.458850174693</v>
      </c>
      <c r="M98" s="184">
        <f t="shared" si="63"/>
        <v>1413.7067031438314</v>
      </c>
      <c r="N98" s="184">
        <f t="shared" si="63"/>
        <v>1414.2172233274027</v>
      </c>
      <c r="O98" s="184">
        <f t="shared" si="63"/>
        <v>1442.8338649337466</v>
      </c>
      <c r="P98" s="184">
        <f t="shared" si="63"/>
        <v>1444.8432736090367</v>
      </c>
      <c r="Q98" s="184">
        <f t="shared" si="63"/>
        <v>1439.3965379600747</v>
      </c>
      <c r="R98" s="184">
        <f t="shared" si="63"/>
        <v>1438.9091294735595</v>
      </c>
    </row>
    <row r="99" spans="1:26" x14ac:dyDescent="0.25">
      <c r="E99" s="7" t="s">
        <v>377</v>
      </c>
      <c r="F99" s="244"/>
      <c r="G99" s="184" t="s">
        <v>235</v>
      </c>
      <c r="H99" s="244"/>
      <c r="I99" s="244"/>
      <c r="J99" s="244">
        <f t="shared" ref="J99:K99" si="64">J96*J97*J98</f>
        <v>0</v>
      </c>
      <c r="K99" s="244">
        <f t="shared" si="64"/>
        <v>0</v>
      </c>
      <c r="L99" s="244">
        <f>L96*L97*L98</f>
        <v>0</v>
      </c>
      <c r="M99" s="244">
        <f>M96*M97*M98</f>
        <v>31.357916585229631</v>
      </c>
      <c r="N99" s="244">
        <f t="shared" ref="N99:R99" si="65">N96*N97*N98</f>
        <v>31.369240609722056</v>
      </c>
      <c r="O99" s="244">
        <f t="shared" si="65"/>
        <v>32.003996219528233</v>
      </c>
      <c r="P99" s="244">
        <f t="shared" si="65"/>
        <v>32.048567607274549</v>
      </c>
      <c r="Q99" s="244">
        <f t="shared" si="65"/>
        <v>31.927751682894954</v>
      </c>
      <c r="R99" s="244">
        <f t="shared" si="65"/>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1412.917700349386</v>
      </c>
      <c r="M102" s="185">
        <f t="shared" si="66"/>
        <v>1385.5176409311107</v>
      </c>
      <c r="N102" s="185">
        <f t="shared" si="66"/>
        <v>1386.0179814323028</v>
      </c>
      <c r="O102" s="185">
        <f t="shared" si="66"/>
        <v>1414.0640122544107</v>
      </c>
      <c r="P102" s="185">
        <f t="shared" si="66"/>
        <v>1416.0333536752748</v>
      </c>
      <c r="Q102" s="185">
        <f t="shared" si="66"/>
        <v>1410.6952249740791</v>
      </c>
      <c r="R102" s="185">
        <f t="shared" si="66"/>
        <v>1438.9091294735595</v>
      </c>
    </row>
    <row r="103" spans="1:26" x14ac:dyDescent="0.25">
      <c r="C103" s="278"/>
      <c r="E103" s="7" t="s">
        <v>378</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1410.6952249740791</v>
      </c>
      <c r="R103" s="184">
        <f t="shared" ref="R103" si="74">R102 * R101</f>
        <v>0</v>
      </c>
    </row>
    <row r="104" spans="1:26" x14ac:dyDescent="0.25">
      <c r="J104" s="91"/>
      <c r="K104" s="91"/>
      <c r="L104" s="91"/>
      <c r="M104" s="91"/>
      <c r="N104" s="91"/>
      <c r="O104" s="91"/>
      <c r="P104" s="91"/>
      <c r="Q104" s="91"/>
      <c r="R104" s="91"/>
    </row>
    <row r="105" spans="1:26" x14ac:dyDescent="0.25">
      <c r="B105" s="61" t="s">
        <v>379</v>
      </c>
    </row>
    <row r="106" spans="1:26" x14ac:dyDescent="0.25">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56.378124425441186</v>
      </c>
      <c r="N106" s="184">
        <f t="shared" si="75"/>
        <v>56.398483790199862</v>
      </c>
      <c r="O106" s="184">
        <f t="shared" si="75"/>
        <v>57.539705358671519</v>
      </c>
      <c r="P106" s="184">
        <f t="shared" si="75"/>
        <v>57.619839867523417</v>
      </c>
      <c r="Q106" s="184">
        <f t="shared" si="75"/>
        <v>57.402625971991355</v>
      </c>
      <c r="R106" s="184">
        <f t="shared" si="75"/>
        <v>0</v>
      </c>
    </row>
    <row r="107" spans="1:26" s="91" customFormat="1" x14ac:dyDescent="0.25">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31.357916585229631</v>
      </c>
      <c r="N107" s="184">
        <f t="shared" si="76"/>
        <v>31.369240609722056</v>
      </c>
      <c r="O107" s="184">
        <f t="shared" si="76"/>
        <v>32.003996219528233</v>
      </c>
      <c r="P107" s="184">
        <f t="shared" si="76"/>
        <v>32.048567607274549</v>
      </c>
      <c r="Q107" s="184">
        <f t="shared" si="76"/>
        <v>31.927751682894954</v>
      </c>
      <c r="R107" s="184">
        <f t="shared" si="76"/>
        <v>0</v>
      </c>
      <c r="S107" s="92"/>
      <c r="T107" s="92"/>
      <c r="U107" s="92"/>
      <c r="V107" s="92"/>
      <c r="W107" s="92"/>
      <c r="X107" s="92"/>
      <c r="Y107" s="92"/>
      <c r="Z107" s="92"/>
    </row>
    <row r="108" spans="1:26" x14ac:dyDescent="0.25">
      <c r="E108" s="7" t="s">
        <v>380</v>
      </c>
      <c r="F108" s="244"/>
      <c r="G108" s="184" t="str">
        <f t="shared" si="76"/>
        <v>£m</v>
      </c>
      <c r="H108" s="244">
        <f>SUM(J108:R108)</f>
        <v>444.04625211847679</v>
      </c>
      <c r="I108" s="244"/>
      <c r="J108" s="244">
        <f t="shared" ref="J108:R108" si="77">SUM(J106:J107)</f>
        <v>0</v>
      </c>
      <c r="K108" s="244">
        <f t="shared" si="77"/>
        <v>0</v>
      </c>
      <c r="L108" s="244">
        <f t="shared" si="77"/>
        <v>0</v>
      </c>
      <c r="M108" s="244">
        <f t="shared" si="77"/>
        <v>87.736041010670817</v>
      </c>
      <c r="N108" s="244">
        <f t="shared" si="77"/>
        <v>87.767724399921917</v>
      </c>
      <c r="O108" s="244">
        <f t="shared" si="77"/>
        <v>89.543701578199745</v>
      </c>
      <c r="P108" s="244">
        <f t="shared" si="77"/>
        <v>89.668407474797959</v>
      </c>
      <c r="Q108" s="244">
        <f t="shared" si="77"/>
        <v>89.330377654886306</v>
      </c>
      <c r="R108" s="244">
        <f t="shared" si="77"/>
        <v>0</v>
      </c>
    </row>
    <row r="110" spans="1:26" ht="12.9" x14ac:dyDescent="0.25">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382</v>
      </c>
    </row>
    <row r="114" spans="1:26" x14ac:dyDescent="0.25">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88.05832826936026</v>
      </c>
      <c r="N114" s="184">
        <f t="shared" si="78"/>
        <v>87.118813854468542</v>
      </c>
      <c r="O114" s="184">
        <f t="shared" si="78"/>
        <v>86.349719317777215</v>
      </c>
      <c r="P114" s="184">
        <f t="shared" si="78"/>
        <v>85.628595541810654</v>
      </c>
      <c r="Q114" s="184">
        <f t="shared" si="78"/>
        <v>84.913494014721877</v>
      </c>
      <c r="R114" s="184">
        <f xml:space="preserve"> R$61</f>
        <v>0</v>
      </c>
    </row>
    <row r="115" spans="1:26" x14ac:dyDescent="0.25">
      <c r="E115" s="7" t="str">
        <f t="shared" ref="E115:R115" si="79" xml:space="preserve"> E$108</f>
        <v>Total nominal revenue company should have received</v>
      </c>
      <c r="F115" s="184">
        <f t="shared" si="79"/>
        <v>0</v>
      </c>
      <c r="G115" s="184" t="str">
        <f t="shared" si="79"/>
        <v>£m</v>
      </c>
      <c r="H115" s="184">
        <f t="shared" si="79"/>
        <v>444.04625211847679</v>
      </c>
      <c r="I115" s="184">
        <f t="shared" si="79"/>
        <v>0</v>
      </c>
      <c r="J115" s="184">
        <f t="shared" si="79"/>
        <v>0</v>
      </c>
      <c r="K115" s="184">
        <f t="shared" si="79"/>
        <v>0</v>
      </c>
      <c r="L115" s="184">
        <f t="shared" si="79"/>
        <v>0</v>
      </c>
      <c r="M115" s="184">
        <f t="shared" si="79"/>
        <v>87.736041010670817</v>
      </c>
      <c r="N115" s="184">
        <f t="shared" si="79"/>
        <v>87.767724399921917</v>
      </c>
      <c r="O115" s="184">
        <f t="shared" si="79"/>
        <v>89.543701578199745</v>
      </c>
      <c r="P115" s="184">
        <f t="shared" si="79"/>
        <v>89.668407474797959</v>
      </c>
      <c r="Q115" s="184">
        <f t="shared" si="79"/>
        <v>89.330377654886306</v>
      </c>
      <c r="R115" s="184">
        <f t="shared" si="79"/>
        <v>0</v>
      </c>
    </row>
    <row r="116" spans="1:26" s="184" customFormat="1" x14ac:dyDescent="0.25">
      <c r="A116" s="180"/>
      <c r="B116" s="181"/>
      <c r="C116" s="182"/>
      <c r="D116" s="183"/>
      <c r="E116" s="7" t="s">
        <v>383</v>
      </c>
      <c r="G116" s="184" t="str">
        <f t="shared" ref="G116" si="80" xml:space="preserve"> G$99</f>
        <v>£m</v>
      </c>
      <c r="H116" s="244">
        <f>SUM(J116:R116)</f>
        <v>11.977301120338197</v>
      </c>
      <c r="M116" s="184">
        <f>M115-M114</f>
        <v>-0.32228725868944252</v>
      </c>
      <c r="N116" s="184">
        <f t="shared" ref="N116:Q116" si="81">N115-N114</f>
        <v>0.64891054545337568</v>
      </c>
      <c r="O116" s="184">
        <f t="shared" si="81"/>
        <v>3.1939822604225299</v>
      </c>
      <c r="P116" s="184">
        <f t="shared" si="81"/>
        <v>4.0398119329873055</v>
      </c>
      <c r="Q116" s="184">
        <f t="shared" si="81"/>
        <v>4.4168836401644285</v>
      </c>
      <c r="S116" s="185"/>
      <c r="T116" s="185"/>
      <c r="U116" s="185"/>
      <c r="V116" s="185"/>
      <c r="W116" s="185"/>
      <c r="X116" s="185"/>
      <c r="Y116" s="185"/>
      <c r="Z116" s="185"/>
    </row>
    <row r="118" spans="1:26" ht="12.9" x14ac:dyDescent="0.25">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385</v>
      </c>
    </row>
    <row r="121" spans="1:26" x14ac:dyDescent="0.25">
      <c r="C121" s="110" t="s">
        <v>386</v>
      </c>
    </row>
    <row r="122" spans="1:26" x14ac:dyDescent="0.25">
      <c r="C122" s="110" t="s">
        <v>387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388</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84" xml:space="preserve"> E$140</f>
        <v>True up Nominal RCV balance BEG</v>
      </c>
      <c r="F128" s="245">
        <f t="shared" si="84"/>
        <v>0</v>
      </c>
      <c r="G128" s="245" t="str">
        <f t="shared" si="84"/>
        <v>£m</v>
      </c>
      <c r="H128" s="245">
        <f t="shared" si="84"/>
        <v>0</v>
      </c>
      <c r="I128" s="245">
        <f t="shared" si="84"/>
        <v>0</v>
      </c>
      <c r="J128" s="245">
        <f t="shared" si="84"/>
        <v>0</v>
      </c>
      <c r="K128" s="245">
        <f t="shared" si="84"/>
        <v>0</v>
      </c>
      <c r="L128" s="245">
        <f t="shared" si="84"/>
        <v>0</v>
      </c>
      <c r="M128" s="245">
        <f t="shared" si="84"/>
        <v>1412.917700349386</v>
      </c>
      <c r="N128" s="245">
        <f t="shared" si="84"/>
        <v>1390.6071648852089</v>
      </c>
      <c r="O128" s="245">
        <f t="shared" si="84"/>
        <v>1375.7704594589495</v>
      </c>
      <c r="P128" s="245">
        <f t="shared" si="84"/>
        <v>1363.625005482972</v>
      </c>
      <c r="Q128" s="245">
        <f t="shared" si="84"/>
        <v>1352.2371003371836</v>
      </c>
      <c r="R128" s="245">
        <f t="shared" si="84"/>
        <v>1340.9442978648476</v>
      </c>
    </row>
    <row r="129" spans="1:16383" x14ac:dyDescent="0.25">
      <c r="E129" s="178" t="str">
        <f t="shared" ref="E129:R129" si="85" xml:space="preserve"> E$126</f>
        <v>True up Indexation percentage</v>
      </c>
      <c r="F129" s="178">
        <f t="shared" si="85"/>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x14ac:dyDescent="0.25">
      <c r="C130" s="278"/>
      <c r="E130" s="7" t="s">
        <v>389</v>
      </c>
      <c r="G130" s="91" t="s">
        <v>235</v>
      </c>
      <c r="J130" s="246">
        <f>J128*J129</f>
        <v>0</v>
      </c>
      <c r="K130" s="246">
        <f t="shared" ref="K130" si="86">K128*K129</f>
        <v>0</v>
      </c>
      <c r="L130" s="246">
        <f t="shared" ref="L130" si="87">L128*L129</f>
        <v>0</v>
      </c>
      <c r="M130" s="246">
        <f>M128*M129</f>
        <v>34.274686876349342</v>
      </c>
      <c r="N130" s="246">
        <f t="shared" ref="N130" si="88">N128*N129</f>
        <v>41.144796254295215</v>
      </c>
      <c r="O130" s="246">
        <f t="shared" ref="O130" si="89">O128*O129</f>
        <v>43.341836808062745</v>
      </c>
      <c r="P130" s="246">
        <f t="shared" ref="P130" si="90">P128*P129</f>
        <v>43.636000175456054</v>
      </c>
      <c r="Q130" s="246">
        <f t="shared" ref="Q130" si="91">Q128*Q129</f>
        <v>43.271587210789612</v>
      </c>
      <c r="R130" s="246">
        <f t="shared" ref="R130" si="92">R128*R129</f>
        <v>40.228328935945164</v>
      </c>
    </row>
    <row r="132" spans="1:16383" s="205" customFormat="1" x14ac:dyDescent="0.25">
      <c r="A132" s="201"/>
      <c r="B132" s="202"/>
      <c r="C132" s="203"/>
      <c r="D132" s="204"/>
      <c r="E132" s="37" t="str">
        <f xml:space="preserve"> InpR!E$95</f>
        <v>Run-off rate - CPI(H) + RPI wedge - active - WN</v>
      </c>
      <c r="F132" s="205">
        <f xml:space="preserve"> InpR!F$95</f>
        <v>0</v>
      </c>
      <c r="G132" s="223" t="str">
        <f xml:space="preserve"> InpR!G$95</f>
        <v>%</v>
      </c>
      <c r="H132" s="205" t="str">
        <f xml:space="preserve"> InpR!I$95</f>
        <v>PR19 Financial model, 'F_OutputsMaster' sheet row 956, PR19FM2093POST</v>
      </c>
      <c r="I132" s="205" t="e">
        <f xml:space="preserve"> InpR!#REF!</f>
        <v>#REF!</v>
      </c>
      <c r="J132" s="205">
        <f xml:space="preserve"> InpR!J$95</f>
        <v>0</v>
      </c>
      <c r="K132" s="205">
        <f xml:space="preserve"> InpR!K$95</f>
        <v>0</v>
      </c>
      <c r="L132" s="205">
        <f xml:space="preserve"> InpR!L$95</f>
        <v>0</v>
      </c>
      <c r="M132" s="205">
        <f xml:space="preserve"> InpR!M$95</f>
        <v>3.9100000000000003E-2</v>
      </c>
      <c r="N132" s="205">
        <f xml:space="preserve"> InpR!N$95</f>
        <v>3.9100000000000003E-2</v>
      </c>
      <c r="O132" s="205">
        <f xml:space="preserve"> InpR!O$95</f>
        <v>3.9100000000000003E-2</v>
      </c>
      <c r="P132" s="205">
        <f xml:space="preserve"> InpR!P$95</f>
        <v>3.9100000000000003E-2</v>
      </c>
      <c r="Q132" s="205">
        <f xml:space="preserve"> InpR!Q$95</f>
        <v>3.9100000000000003E-2</v>
      </c>
      <c r="R132" s="205">
        <f xml:space="preserve"> InpR!R$95</f>
        <v>0</v>
      </c>
    </row>
    <row r="133" spans="1:16383" s="161" customFormat="1" x14ac:dyDescent="0.25">
      <c r="A133" s="157"/>
      <c r="B133" s="158"/>
      <c r="C133" s="159"/>
      <c r="D133" s="160"/>
      <c r="E133" s="161" t="str">
        <f t="shared" ref="E133:R133" si="93" xml:space="preserve"> E$140</f>
        <v>True up Nominal RCV balance BEG</v>
      </c>
      <c r="F133" s="245">
        <f t="shared" si="93"/>
        <v>0</v>
      </c>
      <c r="G133" s="245" t="str">
        <f t="shared" si="93"/>
        <v>£m</v>
      </c>
      <c r="H133" s="245">
        <f t="shared" si="93"/>
        <v>0</v>
      </c>
      <c r="I133" s="245">
        <f t="shared" si="93"/>
        <v>0</v>
      </c>
      <c r="J133" s="245">
        <f t="shared" si="93"/>
        <v>0</v>
      </c>
      <c r="K133" s="245">
        <f t="shared" si="93"/>
        <v>0</v>
      </c>
      <c r="L133" s="245">
        <f t="shared" si="93"/>
        <v>0</v>
      </c>
      <c r="M133" s="245">
        <f t="shared" si="93"/>
        <v>1412.917700349386</v>
      </c>
      <c r="N133" s="245">
        <f t="shared" si="93"/>
        <v>1390.6071648852089</v>
      </c>
      <c r="O133" s="245">
        <f t="shared" si="93"/>
        <v>1375.7704594589495</v>
      </c>
      <c r="P133" s="245">
        <f t="shared" si="93"/>
        <v>1363.625005482972</v>
      </c>
      <c r="Q133" s="245">
        <f t="shared" si="93"/>
        <v>1352.2371003371836</v>
      </c>
      <c r="R133" s="245">
        <f t="shared" si="93"/>
        <v>1340.9442978648476</v>
      </c>
    </row>
    <row r="134" spans="1:16383" s="91" customFormat="1" x14ac:dyDescent="0.25">
      <c r="A134" s="170"/>
      <c r="B134" s="165"/>
      <c r="C134" s="276"/>
      <c r="D134" s="171"/>
      <c r="E134" s="7" t="str">
        <f t="shared" ref="E134:R134" si="94" xml:space="preserve"> E$130</f>
        <v>True up RCV indexation</v>
      </c>
      <c r="F134" s="246">
        <f t="shared" si="94"/>
        <v>0</v>
      </c>
      <c r="G134" s="162" t="str">
        <f t="shared" si="94"/>
        <v>£m</v>
      </c>
      <c r="H134" s="246">
        <f t="shared" si="94"/>
        <v>0</v>
      </c>
      <c r="I134" s="246">
        <f t="shared" si="94"/>
        <v>0</v>
      </c>
      <c r="J134" s="246">
        <f t="shared" si="94"/>
        <v>0</v>
      </c>
      <c r="K134" s="246">
        <f t="shared" si="94"/>
        <v>0</v>
      </c>
      <c r="L134" s="246">
        <f t="shared" si="94"/>
        <v>0</v>
      </c>
      <c r="M134" s="246">
        <f t="shared" si="94"/>
        <v>34.274686876349342</v>
      </c>
      <c r="N134" s="246">
        <f t="shared" si="94"/>
        <v>41.144796254295215</v>
      </c>
      <c r="O134" s="246">
        <f t="shared" si="94"/>
        <v>43.341836808062745</v>
      </c>
      <c r="P134" s="246">
        <f t="shared" si="94"/>
        <v>43.636000175456054</v>
      </c>
      <c r="Q134" s="246">
        <f t="shared" si="94"/>
        <v>43.271587210789612</v>
      </c>
      <c r="R134" s="246">
        <f t="shared" si="94"/>
        <v>40.228328935945164</v>
      </c>
      <c r="S134" s="92"/>
      <c r="T134" s="92"/>
      <c r="U134" s="92"/>
      <c r="V134" s="92"/>
      <c r="W134" s="92"/>
      <c r="X134" s="92"/>
      <c r="Y134" s="92"/>
      <c r="Z134" s="92"/>
    </row>
    <row r="135" spans="1:16383" x14ac:dyDescent="0.25">
      <c r="C135" s="278"/>
      <c r="E135" s="7" t="s">
        <v>390</v>
      </c>
      <c r="F135" s="247"/>
      <c r="G135" s="162" t="s">
        <v>235</v>
      </c>
      <c r="H135" s="247"/>
      <c r="I135" s="247"/>
      <c r="J135" s="246">
        <f t="shared" ref="J135:R135" si="95" xml:space="preserve"> (J133+J134) * J132</f>
        <v>0</v>
      </c>
      <c r="K135" s="246">
        <f t="shared" si="95"/>
        <v>0</v>
      </c>
      <c r="L135" s="246">
        <f t="shared" si="95"/>
        <v>0</v>
      </c>
      <c r="M135" s="246">
        <f xml:space="preserve"> (M133+M134) * M132</f>
        <v>56.585222340526251</v>
      </c>
      <c r="N135" s="246">
        <f t="shared" si="95"/>
        <v>55.981501680554615</v>
      </c>
      <c r="O135" s="246">
        <f t="shared" si="95"/>
        <v>55.487290784040184</v>
      </c>
      <c r="P135" s="246">
        <f t="shared" si="95"/>
        <v>55.023905321244541</v>
      </c>
      <c r="Q135" s="246">
        <f t="shared" si="95"/>
        <v>54.564389683125761</v>
      </c>
      <c r="R135" s="246">
        <f t="shared" si="9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InpR!$E$88</f>
        <v>RCV - CPI(H) + RPI wedge initial balance - nominal - WN</v>
      </c>
      <c r="F137" s="250">
        <f>InpR!$F$88</f>
        <v>1412.917700349386</v>
      </c>
      <c r="G137" s="250" t="str">
        <f>InpR!$G$88</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391</v>
      </c>
      <c r="G140" s="162" t="s">
        <v>235</v>
      </c>
      <c r="J140" s="242">
        <f t="shared" ref="J140" si="96" xml:space="preserve"> I143</f>
        <v>0</v>
      </c>
      <c r="K140" s="242">
        <f t="shared" ref="K140" si="97" xml:space="preserve"> J143</f>
        <v>0</v>
      </c>
      <c r="L140" s="242">
        <f t="shared" ref="L140" si="98" xml:space="preserve"> K143</f>
        <v>0</v>
      </c>
      <c r="M140" s="242">
        <f t="shared" ref="M140" si="99" xml:space="preserve"> L143</f>
        <v>1412.917700349386</v>
      </c>
      <c r="N140" s="242">
        <f t="shared" ref="N140" si="100" xml:space="preserve"> M143</f>
        <v>1390.6071648852089</v>
      </c>
      <c r="O140" s="242">
        <f t="shared" ref="O140" si="101" xml:space="preserve"> N143</f>
        <v>1375.7704594589495</v>
      </c>
      <c r="P140" s="242">
        <f t="shared" ref="P140" si="102" xml:space="preserve"> O143</f>
        <v>1363.625005482972</v>
      </c>
      <c r="Q140" s="242">
        <f t="shared" ref="Q140" si="103" xml:space="preserve"> P143</f>
        <v>1352.2371003371836</v>
      </c>
      <c r="R140" s="242">
        <f t="shared" ref="R140" si="104" xml:space="preserve"> Q143</f>
        <v>1340.9442978648476</v>
      </c>
    </row>
    <row r="141" spans="1:16383" x14ac:dyDescent="0.25">
      <c r="A141" s="47"/>
      <c r="B141" s="51"/>
      <c r="C141" s="111"/>
      <c r="D141" s="56" t="s">
        <v>353</v>
      </c>
      <c r="E141" s="7" t="str">
        <f t="shared" ref="E141:R141" si="105" xml:space="preserve"> E$130</f>
        <v>True up RCV indexation</v>
      </c>
      <c r="F141" s="242">
        <f t="shared" si="105"/>
        <v>0</v>
      </c>
      <c r="G141" s="242" t="str">
        <f t="shared" si="105"/>
        <v>£m</v>
      </c>
      <c r="H141" s="242">
        <f t="shared" si="105"/>
        <v>0</v>
      </c>
      <c r="I141" s="242">
        <f t="shared" si="105"/>
        <v>0</v>
      </c>
      <c r="J141" s="242">
        <f t="shared" si="105"/>
        <v>0</v>
      </c>
      <c r="K141" s="242">
        <f t="shared" si="105"/>
        <v>0</v>
      </c>
      <c r="L141" s="242">
        <f t="shared" si="105"/>
        <v>0</v>
      </c>
      <c r="M141" s="242">
        <f t="shared" si="105"/>
        <v>34.274686876349342</v>
      </c>
      <c r="N141" s="242">
        <f t="shared" si="105"/>
        <v>41.144796254295215</v>
      </c>
      <c r="O141" s="242">
        <f t="shared" si="105"/>
        <v>43.341836808062745</v>
      </c>
      <c r="P141" s="242">
        <f t="shared" si="105"/>
        <v>43.636000175456054</v>
      </c>
      <c r="Q141" s="242">
        <f t="shared" si="105"/>
        <v>43.271587210789612</v>
      </c>
      <c r="R141" s="242">
        <f t="shared" si="105"/>
        <v>40.228328935945164</v>
      </c>
    </row>
    <row r="142" spans="1:16383" x14ac:dyDescent="0.25">
      <c r="A142" s="47"/>
      <c r="B142" s="51"/>
      <c r="C142" s="111"/>
      <c r="D142" s="56" t="s">
        <v>354</v>
      </c>
      <c r="E142" s="7" t="str">
        <f t="shared" ref="E142:R142" si="106" xml:space="preserve"> E$135</f>
        <v>True up Nominal RCV run-off</v>
      </c>
      <c r="F142" s="242">
        <f t="shared" si="106"/>
        <v>0</v>
      </c>
      <c r="G142" s="242" t="str">
        <f t="shared" si="106"/>
        <v>£m</v>
      </c>
      <c r="H142" s="242">
        <f t="shared" si="106"/>
        <v>0</v>
      </c>
      <c r="I142" s="242">
        <f t="shared" si="106"/>
        <v>0</v>
      </c>
      <c r="J142" s="242">
        <f t="shared" si="106"/>
        <v>0</v>
      </c>
      <c r="K142" s="242">
        <f t="shared" si="106"/>
        <v>0</v>
      </c>
      <c r="L142" s="242">
        <f t="shared" si="106"/>
        <v>0</v>
      </c>
      <c r="M142" s="242">
        <f t="shared" si="106"/>
        <v>56.585222340526251</v>
      </c>
      <c r="N142" s="242">
        <f t="shared" si="106"/>
        <v>55.981501680554615</v>
      </c>
      <c r="O142" s="242">
        <f t="shared" si="106"/>
        <v>55.487290784040184</v>
      </c>
      <c r="P142" s="242">
        <f t="shared" si="106"/>
        <v>55.023905321244541</v>
      </c>
      <c r="Q142" s="242">
        <f t="shared" si="106"/>
        <v>54.564389683125761</v>
      </c>
      <c r="R142" s="242">
        <f t="shared" si="106"/>
        <v>0</v>
      </c>
    </row>
    <row r="143" spans="1:16383" s="138" customFormat="1" x14ac:dyDescent="0.25">
      <c r="A143" s="134"/>
      <c r="B143" s="135"/>
      <c r="C143" s="279"/>
      <c r="D143" s="137"/>
      <c r="E143" s="138" t="s">
        <v>392</v>
      </c>
      <c r="G143" s="163" t="s">
        <v>235</v>
      </c>
      <c r="J143" s="243">
        <f t="shared" ref="J143:R143" si="107" xml:space="preserve"> IF( J138 = 1, $F137, J140 + J141 - J142)</f>
        <v>0</v>
      </c>
      <c r="K143" s="243">
        <f t="shared" si="107"/>
        <v>0</v>
      </c>
      <c r="L143" s="243">
        <f t="shared" si="107"/>
        <v>1412.917700349386</v>
      </c>
      <c r="M143" s="243">
        <f t="shared" si="107"/>
        <v>1390.6071648852089</v>
      </c>
      <c r="N143" s="243">
        <f t="shared" si="107"/>
        <v>1375.7704594589495</v>
      </c>
      <c r="O143" s="243">
        <f t="shared" si="107"/>
        <v>1363.625005482972</v>
      </c>
      <c r="P143" s="243">
        <f t="shared" si="107"/>
        <v>1352.2371003371836</v>
      </c>
      <c r="Q143" s="243">
        <f t="shared" si="107"/>
        <v>1340.9442978648476</v>
      </c>
      <c r="R143" s="243">
        <f t="shared" si="107"/>
        <v>1381.1726268007928</v>
      </c>
    </row>
    <row r="145" spans="1:26" s="92" customFormat="1" x14ac:dyDescent="0.25">
      <c r="A145" s="164"/>
      <c r="B145" s="165"/>
      <c r="C145" s="166"/>
      <c r="D145" s="167"/>
      <c r="E145" s="179" t="str">
        <f t="shared" ref="E145:R145" si="108" xml:space="preserve"> E$140</f>
        <v>True up Nominal RCV balance BEG</v>
      </c>
      <c r="F145" s="185">
        <f t="shared" si="108"/>
        <v>0</v>
      </c>
      <c r="G145" s="185" t="str">
        <f t="shared" si="108"/>
        <v>£m</v>
      </c>
      <c r="H145" s="185">
        <f t="shared" si="108"/>
        <v>0</v>
      </c>
      <c r="I145" s="185">
        <f t="shared" si="108"/>
        <v>0</v>
      </c>
      <c r="J145" s="185">
        <f t="shared" si="108"/>
        <v>0</v>
      </c>
      <c r="K145" s="185">
        <f t="shared" si="108"/>
        <v>0</v>
      </c>
      <c r="L145" s="185">
        <f t="shared" si="108"/>
        <v>0</v>
      </c>
      <c r="M145" s="185">
        <f t="shared" si="108"/>
        <v>1412.917700349386</v>
      </c>
      <c r="N145" s="185">
        <f t="shared" si="108"/>
        <v>1390.6071648852089</v>
      </c>
      <c r="O145" s="185">
        <f t="shared" si="108"/>
        <v>1375.7704594589495</v>
      </c>
      <c r="P145" s="185">
        <f t="shared" si="108"/>
        <v>1363.625005482972</v>
      </c>
      <c r="Q145" s="185">
        <f t="shared" si="108"/>
        <v>1352.2371003371836</v>
      </c>
      <c r="R145" s="185">
        <f t="shared" si="108"/>
        <v>1340.9442978648476</v>
      </c>
    </row>
    <row r="146" spans="1:26" s="91" customFormat="1" x14ac:dyDescent="0.25">
      <c r="A146" s="170"/>
      <c r="B146" s="165"/>
      <c r="C146" s="166"/>
      <c r="D146" s="171"/>
      <c r="E146" s="179" t="str">
        <f t="shared" ref="E146:R146" si="109" xml:space="preserve"> E$130</f>
        <v>True up RCV indexation</v>
      </c>
      <c r="F146" s="184">
        <f t="shared" si="109"/>
        <v>0</v>
      </c>
      <c r="G146" s="185" t="str">
        <f t="shared" si="109"/>
        <v>£m</v>
      </c>
      <c r="H146" s="184">
        <f t="shared" si="109"/>
        <v>0</v>
      </c>
      <c r="I146" s="184">
        <f t="shared" si="109"/>
        <v>0</v>
      </c>
      <c r="J146" s="184">
        <f t="shared" si="109"/>
        <v>0</v>
      </c>
      <c r="K146" s="184">
        <f t="shared" si="109"/>
        <v>0</v>
      </c>
      <c r="L146" s="184">
        <f t="shared" si="109"/>
        <v>0</v>
      </c>
      <c r="M146" s="184">
        <f t="shared" si="109"/>
        <v>34.274686876349342</v>
      </c>
      <c r="N146" s="184">
        <f t="shared" si="109"/>
        <v>41.144796254295215</v>
      </c>
      <c r="O146" s="184">
        <f t="shared" si="109"/>
        <v>43.341836808062745</v>
      </c>
      <c r="P146" s="184">
        <f t="shared" si="109"/>
        <v>43.636000175456054</v>
      </c>
      <c r="Q146" s="184">
        <f t="shared" si="109"/>
        <v>43.271587210789612</v>
      </c>
      <c r="R146" s="184">
        <f t="shared" si="109"/>
        <v>40.228328935945164</v>
      </c>
      <c r="S146" s="92"/>
      <c r="T146" s="92"/>
      <c r="U146" s="92"/>
      <c r="V146" s="92"/>
      <c r="W146" s="92"/>
      <c r="X146" s="92"/>
      <c r="Y146" s="92"/>
      <c r="Z146" s="92"/>
    </row>
    <row r="147" spans="1:26" s="92" customFormat="1" x14ac:dyDescent="0.25">
      <c r="A147" s="164"/>
      <c r="B147" s="165"/>
      <c r="C147" s="166"/>
      <c r="D147" s="167"/>
      <c r="E147" s="179" t="str">
        <f t="shared" ref="E147:R147" si="110" xml:space="preserve"> E$143</f>
        <v>True up Nominal RCV balance END</v>
      </c>
      <c r="F147" s="185">
        <f t="shared" si="110"/>
        <v>0</v>
      </c>
      <c r="G147" s="185" t="str">
        <f t="shared" si="110"/>
        <v>£m</v>
      </c>
      <c r="H147" s="185">
        <f t="shared" si="110"/>
        <v>0</v>
      </c>
      <c r="I147" s="185">
        <f t="shared" si="110"/>
        <v>0</v>
      </c>
      <c r="J147" s="185">
        <f t="shared" si="110"/>
        <v>0</v>
      </c>
      <c r="K147" s="185">
        <f t="shared" si="110"/>
        <v>0</v>
      </c>
      <c r="L147" s="185">
        <f t="shared" si="110"/>
        <v>1412.917700349386</v>
      </c>
      <c r="M147" s="185">
        <f t="shared" si="110"/>
        <v>1390.6071648852089</v>
      </c>
      <c r="N147" s="185">
        <f t="shared" si="110"/>
        <v>1375.7704594589495</v>
      </c>
      <c r="O147" s="185">
        <f t="shared" si="110"/>
        <v>1363.625005482972</v>
      </c>
      <c r="P147" s="185">
        <f t="shared" si="110"/>
        <v>1352.2371003371836</v>
      </c>
      <c r="Q147" s="185">
        <f t="shared" si="110"/>
        <v>1340.9442978648476</v>
      </c>
      <c r="R147" s="185">
        <f t="shared" si="110"/>
        <v>1381.1726268007928</v>
      </c>
    </row>
    <row r="148" spans="1:26" x14ac:dyDescent="0.25">
      <c r="A148" s="49"/>
      <c r="C148" s="278"/>
      <c r="D148" s="57"/>
      <c r="E148" s="7" t="s">
        <v>393</v>
      </c>
      <c r="F148" s="244"/>
      <c r="G148" s="185" t="s">
        <v>235</v>
      </c>
      <c r="H148" s="244"/>
      <c r="I148" s="244"/>
      <c r="J148" s="185">
        <f t="shared" ref="J148:L148" si="111" xml:space="preserve"> ( (J145+J146) + J147) / 2</f>
        <v>0</v>
      </c>
      <c r="K148" s="185">
        <f t="shared" si="111"/>
        <v>0</v>
      </c>
      <c r="L148" s="185">
        <f t="shared" si="111"/>
        <v>706.458850174693</v>
      </c>
      <c r="M148" s="185">
        <f xml:space="preserve"> ( (M145+M146) + M147) / 2</f>
        <v>1418.8997760554721</v>
      </c>
      <c r="N148" s="185">
        <f t="shared" ref="N148:R148" si="112" xml:space="preserve"> ( (N145+N146) + N147) / 2</f>
        <v>1403.7612102992268</v>
      </c>
      <c r="O148" s="185">
        <f t="shared" si="112"/>
        <v>1391.368650874992</v>
      </c>
      <c r="P148" s="185">
        <f t="shared" si="112"/>
        <v>1379.7490529978058</v>
      </c>
      <c r="Q148" s="185">
        <f t="shared" si="112"/>
        <v>1368.2264927064105</v>
      </c>
      <c r="R148" s="185">
        <f t="shared" si="112"/>
        <v>1381.1726268007928</v>
      </c>
    </row>
    <row r="150" spans="1:26" s="205" customFormat="1" x14ac:dyDescent="0.25">
      <c r="A150" s="201"/>
      <c r="B150" s="202"/>
      <c r="C150" s="203"/>
      <c r="D150" s="204"/>
      <c r="E150" s="205" t="str">
        <f xml:space="preserve"> InpR!E$102</f>
        <v>WACC on RCV - CPI(H) + RPI wedge bf and additions - WN</v>
      </c>
      <c r="F150" s="205">
        <f xml:space="preserve"> InpR!F$102</f>
        <v>0</v>
      </c>
      <c r="G150" s="223" t="str">
        <f xml:space="preserve"> InpR!G$102</f>
        <v>%</v>
      </c>
      <c r="H150" s="205" t="str">
        <f xml:space="preserve"> InpR!I$102</f>
        <v>PR19 Financial model, 'Water Network' sheet row 980</v>
      </c>
      <c r="I150" s="205" t="e">
        <f xml:space="preserve"> InpR!#REF!</f>
        <v>#REF!</v>
      </c>
      <c r="J150" s="205">
        <f xml:space="preserve"> InpR!J$102</f>
        <v>0</v>
      </c>
      <c r="K150" s="205">
        <f xml:space="preserve"> InpR!K$102</f>
        <v>0</v>
      </c>
      <c r="L150" s="205">
        <f xml:space="preserve"> InpR!L$102</f>
        <v>0</v>
      </c>
      <c r="M150" s="205">
        <f xml:space="preserve"> InpR!M$102</f>
        <v>2.2181345335277269E-2</v>
      </c>
      <c r="N150" s="205">
        <f xml:space="preserve"> InpR!N$102</f>
        <v>2.2181345335277269E-2</v>
      </c>
      <c r="O150" s="205">
        <f xml:space="preserve"> InpR!O$102</f>
        <v>2.2181345335277269E-2</v>
      </c>
      <c r="P150" s="205">
        <f xml:space="preserve"> InpR!P$102</f>
        <v>2.2181345335277269E-2</v>
      </c>
      <c r="Q150" s="205">
        <f xml:space="preserve"> InpR!Q$102</f>
        <v>2.2181345335277269E-2</v>
      </c>
      <c r="R150" s="205">
        <f xml:space="preserve"> InpR!R$102</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113" xml:space="preserve"> E$148</f>
        <v>True up Nominal RCV average balance</v>
      </c>
      <c r="F152" s="184">
        <f t="shared" si="113"/>
        <v>0</v>
      </c>
      <c r="G152" s="184" t="str">
        <f t="shared" si="113"/>
        <v>£m</v>
      </c>
      <c r="H152" s="246">
        <f t="shared" si="113"/>
        <v>0</v>
      </c>
      <c r="I152" s="184">
        <f t="shared" si="113"/>
        <v>0</v>
      </c>
      <c r="J152" s="246">
        <f t="shared" si="113"/>
        <v>0</v>
      </c>
      <c r="K152" s="246">
        <f t="shared" si="113"/>
        <v>0</v>
      </c>
      <c r="L152" s="246">
        <f t="shared" si="113"/>
        <v>706.458850174693</v>
      </c>
      <c r="M152" s="246">
        <f t="shared" si="113"/>
        <v>1418.8997760554721</v>
      </c>
      <c r="N152" s="246">
        <f t="shared" si="113"/>
        <v>1403.7612102992268</v>
      </c>
      <c r="O152" s="246">
        <f t="shared" si="113"/>
        <v>1391.368650874992</v>
      </c>
      <c r="P152" s="246">
        <f t="shared" si="113"/>
        <v>1379.7490529978058</v>
      </c>
      <c r="Q152" s="246">
        <f t="shared" si="113"/>
        <v>1368.2264927064105</v>
      </c>
      <c r="R152" s="246">
        <f t="shared" si="113"/>
        <v>1381.1726268007928</v>
      </c>
    </row>
    <row r="153" spans="1:26" x14ac:dyDescent="0.25">
      <c r="C153" s="278"/>
      <c r="E153" s="7" t="s">
        <v>394</v>
      </c>
      <c r="F153" s="244"/>
      <c r="G153" s="184" t="s">
        <v>235</v>
      </c>
      <c r="H153" s="244"/>
      <c r="I153" s="244"/>
      <c r="J153" s="246">
        <f t="shared" ref="J153:K153" si="114">J150*J151*J152</f>
        <v>0</v>
      </c>
      <c r="K153" s="246">
        <f t="shared" si="114"/>
        <v>0</v>
      </c>
      <c r="L153" s="246">
        <f>L150*L151*L152</f>
        <v>0</v>
      </c>
      <c r="M153" s="246">
        <f t="shared" ref="M153:R153" si="115">M150*M151*M152</f>
        <v>31.473105928834009</v>
      </c>
      <c r="N153" s="246">
        <f t="shared" si="115"/>
        <v>31.13731217391393</v>
      </c>
      <c r="O153" s="246">
        <f t="shared" si="115"/>
        <v>30.862428533737031</v>
      </c>
      <c r="P153" s="246">
        <f t="shared" si="115"/>
        <v>30.604690220566109</v>
      </c>
      <c r="Q153" s="246">
        <f t="shared" si="115"/>
        <v>30.349104331596116</v>
      </c>
      <c r="R153" s="246">
        <f t="shared" si="115"/>
        <v>0</v>
      </c>
    </row>
    <row r="154" spans="1:26" x14ac:dyDescent="0.25">
      <c r="M154" s="187"/>
      <c r="N154" s="187"/>
      <c r="O154" s="187"/>
      <c r="P154" s="187"/>
      <c r="Q154" s="187"/>
    </row>
    <row r="155" spans="1:26" s="91" customFormat="1" x14ac:dyDescent="0.25">
      <c r="A155" s="170"/>
      <c r="B155" s="165"/>
      <c r="C155" s="166"/>
      <c r="D155" s="171"/>
      <c r="E155" s="7" t="str">
        <f t="shared" ref="E155:R155" si="116" xml:space="preserve"> E$135</f>
        <v>True up Nominal RCV run-off</v>
      </c>
      <c r="F155" s="184">
        <f t="shared" si="116"/>
        <v>0</v>
      </c>
      <c r="G155" s="184" t="str">
        <f t="shared" si="116"/>
        <v>£m</v>
      </c>
      <c r="H155" s="184">
        <f t="shared" si="116"/>
        <v>0</v>
      </c>
      <c r="I155" s="184">
        <f t="shared" si="116"/>
        <v>0</v>
      </c>
      <c r="J155" s="184">
        <f t="shared" si="116"/>
        <v>0</v>
      </c>
      <c r="K155" s="184">
        <f t="shared" si="116"/>
        <v>0</v>
      </c>
      <c r="L155" s="184">
        <f t="shared" si="116"/>
        <v>0</v>
      </c>
      <c r="M155" s="184">
        <f t="shared" si="116"/>
        <v>56.585222340526251</v>
      </c>
      <c r="N155" s="184">
        <f t="shared" si="116"/>
        <v>55.981501680554615</v>
      </c>
      <c r="O155" s="184">
        <f t="shared" si="116"/>
        <v>55.487290784040184</v>
      </c>
      <c r="P155" s="184">
        <f t="shared" si="116"/>
        <v>55.023905321244541</v>
      </c>
      <c r="Q155" s="184">
        <f t="shared" si="116"/>
        <v>54.564389683125761</v>
      </c>
      <c r="R155" s="184">
        <f t="shared" si="116"/>
        <v>0</v>
      </c>
      <c r="S155" s="92"/>
      <c r="T155" s="92"/>
      <c r="U155" s="92"/>
      <c r="V155" s="92"/>
      <c r="W155" s="92"/>
      <c r="X155" s="92"/>
      <c r="Y155" s="92"/>
      <c r="Z155" s="92"/>
    </row>
    <row r="156" spans="1:26" x14ac:dyDescent="0.25">
      <c r="E156" s="7" t="str">
        <f t="shared" ref="E156:R156" si="117" xml:space="preserve"> E$153</f>
        <v>True up Nominal return</v>
      </c>
      <c r="F156" s="184">
        <f t="shared" si="117"/>
        <v>0</v>
      </c>
      <c r="G156" s="184" t="str">
        <f t="shared" si="117"/>
        <v>£m</v>
      </c>
      <c r="H156" s="184">
        <f t="shared" si="117"/>
        <v>0</v>
      </c>
      <c r="I156" s="184">
        <f t="shared" si="117"/>
        <v>0</v>
      </c>
      <c r="J156" s="184">
        <f t="shared" si="117"/>
        <v>0</v>
      </c>
      <c r="K156" s="184">
        <f t="shared" si="117"/>
        <v>0</v>
      </c>
      <c r="L156" s="184">
        <f t="shared" si="117"/>
        <v>0</v>
      </c>
      <c r="M156" s="184">
        <f t="shared" si="117"/>
        <v>31.473105928834009</v>
      </c>
      <c r="N156" s="184">
        <f t="shared" si="117"/>
        <v>31.13731217391393</v>
      </c>
      <c r="O156" s="184">
        <f t="shared" si="117"/>
        <v>30.862428533737031</v>
      </c>
      <c r="P156" s="184">
        <f t="shared" si="117"/>
        <v>30.604690220566109</v>
      </c>
      <c r="Q156" s="184">
        <f t="shared" si="117"/>
        <v>30.349104331596116</v>
      </c>
      <c r="R156" s="184">
        <f t="shared" si="117"/>
        <v>0</v>
      </c>
    </row>
    <row r="157" spans="1:26" x14ac:dyDescent="0.25">
      <c r="C157" s="278"/>
      <c r="E157" s="7" t="s">
        <v>395</v>
      </c>
      <c r="F157" s="244"/>
      <c r="G157" s="184" t="str">
        <f t="shared" ref="G157" si="118">G$155</f>
        <v>£m</v>
      </c>
      <c r="H157" s="244">
        <f>SUM(J157:R157)</f>
        <v>432.06895099813858</v>
      </c>
      <c r="I157" s="244"/>
      <c r="J157" s="244">
        <f t="shared" ref="J157:R157" si="119">SUM(J155:J156)</f>
        <v>0</v>
      </c>
      <c r="K157" s="244">
        <f t="shared" si="119"/>
        <v>0</v>
      </c>
      <c r="L157" s="244">
        <f>SUM(L155:L156)</f>
        <v>0</v>
      </c>
      <c r="M157" s="244">
        <f t="shared" si="119"/>
        <v>88.05832826936026</v>
      </c>
      <c r="N157" s="244">
        <f t="shared" si="119"/>
        <v>87.118813854468542</v>
      </c>
      <c r="O157" s="244">
        <f t="shared" si="119"/>
        <v>86.349719317777215</v>
      </c>
      <c r="P157" s="244">
        <f t="shared" si="119"/>
        <v>85.628595541810654</v>
      </c>
      <c r="Q157" s="244">
        <f t="shared" si="119"/>
        <v>84.913494014721877</v>
      </c>
      <c r="R157" s="244">
        <f t="shared" si="119"/>
        <v>0</v>
      </c>
    </row>
    <row r="159" spans="1:26" x14ac:dyDescent="0.25">
      <c r="E159" s="7" t="str">
        <f t="shared" ref="E159:R159" si="120" xml:space="preserve"> E$157</f>
        <v>Total True up Nominal revenue to company</v>
      </c>
      <c r="F159" s="184">
        <f t="shared" si="120"/>
        <v>0</v>
      </c>
      <c r="G159" s="184" t="str">
        <f t="shared" si="120"/>
        <v>£m</v>
      </c>
      <c r="H159" s="184">
        <f t="shared" si="120"/>
        <v>432.06895099813858</v>
      </c>
      <c r="I159" s="184">
        <f t="shared" si="120"/>
        <v>0</v>
      </c>
      <c r="J159" s="184">
        <f t="shared" si="120"/>
        <v>0</v>
      </c>
      <c r="K159" s="184">
        <f t="shared" si="120"/>
        <v>0</v>
      </c>
      <c r="L159" s="184">
        <f t="shared" si="120"/>
        <v>0</v>
      </c>
      <c r="M159" s="184">
        <f t="shared" si="120"/>
        <v>88.05832826936026</v>
      </c>
      <c r="N159" s="184">
        <f t="shared" si="120"/>
        <v>87.118813854468542</v>
      </c>
      <c r="O159" s="184">
        <f t="shared" si="120"/>
        <v>86.349719317777215</v>
      </c>
      <c r="P159" s="184">
        <f t="shared" si="120"/>
        <v>85.628595541810654</v>
      </c>
      <c r="Q159" s="184">
        <f t="shared" si="120"/>
        <v>84.913494014721877</v>
      </c>
      <c r="R159" s="184">
        <f t="shared" si="120"/>
        <v>0</v>
      </c>
    </row>
    <row r="160" spans="1:26" x14ac:dyDescent="0.25">
      <c r="E160" s="7" t="str">
        <f t="shared" ref="E160:R160" si="121" xml:space="preserve"> E$108</f>
        <v>Total nominal revenue company should have received</v>
      </c>
      <c r="F160" s="184">
        <f t="shared" si="121"/>
        <v>0</v>
      </c>
      <c r="G160" s="184" t="str">
        <f t="shared" si="121"/>
        <v>£m</v>
      </c>
      <c r="H160" s="184">
        <f t="shared" si="121"/>
        <v>444.04625211847679</v>
      </c>
      <c r="I160" s="184">
        <f t="shared" si="121"/>
        <v>0</v>
      </c>
      <c r="J160" s="184">
        <f t="shared" si="121"/>
        <v>0</v>
      </c>
      <c r="K160" s="184">
        <f t="shared" si="121"/>
        <v>0</v>
      </c>
      <c r="L160" s="184">
        <f t="shared" si="121"/>
        <v>0</v>
      </c>
      <c r="M160" s="184">
        <f t="shared" si="121"/>
        <v>87.736041010670817</v>
      </c>
      <c r="N160" s="184">
        <f t="shared" si="121"/>
        <v>87.767724399921917</v>
      </c>
      <c r="O160" s="184">
        <f t="shared" si="121"/>
        <v>89.543701578199745</v>
      </c>
      <c r="P160" s="184">
        <f t="shared" si="121"/>
        <v>89.668407474797959</v>
      </c>
      <c r="Q160" s="184">
        <f t="shared" si="121"/>
        <v>89.330377654886306</v>
      </c>
      <c r="R160" s="184">
        <f t="shared" si="121"/>
        <v>0</v>
      </c>
    </row>
    <row r="161" spans="1:16383" s="185" customFormat="1" x14ac:dyDescent="0.25">
      <c r="A161" s="252"/>
      <c r="B161" s="181"/>
      <c r="C161" s="182"/>
      <c r="D161" s="253"/>
      <c r="E161" s="7" t="s">
        <v>396</v>
      </c>
      <c r="G161" s="185" t="str">
        <f t="shared" ref="G161" si="122" xml:space="preserve"> G$153</f>
        <v>£m</v>
      </c>
      <c r="H161" s="185">
        <f xml:space="preserve"> SUM(J161:R161)</f>
        <v>11.977301120338197</v>
      </c>
      <c r="J161" s="185">
        <f t="shared" ref="J161:K161" si="123">J160-J159</f>
        <v>0</v>
      </c>
      <c r="K161" s="185">
        <f t="shared" si="123"/>
        <v>0</v>
      </c>
      <c r="L161" s="185">
        <f>L160-L159</f>
        <v>0</v>
      </c>
      <c r="M161" s="185">
        <f>M160-M159</f>
        <v>-0.32228725868944252</v>
      </c>
      <c r="N161" s="185">
        <f t="shared" ref="N161:R161" si="124">N160-N159</f>
        <v>0.64891054545337568</v>
      </c>
      <c r="O161" s="185">
        <f t="shared" si="124"/>
        <v>3.1939822604225299</v>
      </c>
      <c r="P161" s="185">
        <f t="shared" si="124"/>
        <v>4.0398119329873055</v>
      </c>
      <c r="Q161" s="185">
        <f t="shared" si="124"/>
        <v>4.4168836401644285</v>
      </c>
      <c r="R161" s="185">
        <f t="shared" si="124"/>
        <v>0</v>
      </c>
    </row>
    <row r="163" spans="1:16383" s="91" customFormat="1" x14ac:dyDescent="0.25">
      <c r="A163" s="170"/>
      <c r="B163" s="165"/>
      <c r="C163" s="166"/>
      <c r="D163" s="171"/>
      <c r="E163" s="7" t="str">
        <f t="shared" ref="E163:R163" si="125" xml:space="preserve"> E$161</f>
        <v>Value of True up nominal</v>
      </c>
      <c r="F163" s="248">
        <f t="shared" si="125"/>
        <v>0</v>
      </c>
      <c r="G163" s="248" t="str">
        <f t="shared" si="125"/>
        <v>£m</v>
      </c>
      <c r="H163" s="248">
        <f t="shared" si="125"/>
        <v>11.977301120338197</v>
      </c>
      <c r="I163" s="248">
        <f t="shared" si="125"/>
        <v>0</v>
      </c>
      <c r="J163" s="248">
        <f t="shared" si="125"/>
        <v>0</v>
      </c>
      <c r="K163" s="248">
        <f t="shared" si="125"/>
        <v>0</v>
      </c>
      <c r="L163" s="248">
        <f t="shared" si="125"/>
        <v>0</v>
      </c>
      <c r="M163" s="248">
        <f t="shared" si="125"/>
        <v>-0.32228725868944252</v>
      </c>
      <c r="N163" s="248">
        <f t="shared" si="125"/>
        <v>0.64891054545337568</v>
      </c>
      <c r="O163" s="248">
        <f t="shared" si="125"/>
        <v>3.1939822604225299</v>
      </c>
      <c r="P163" s="248">
        <f t="shared" si="125"/>
        <v>4.0398119329873055</v>
      </c>
      <c r="Q163" s="248">
        <f t="shared" si="125"/>
        <v>4.4168836401644285</v>
      </c>
      <c r="R163" s="248">
        <f t="shared" si="125"/>
        <v>0</v>
      </c>
      <c r="S163" s="92"/>
      <c r="T163" s="92"/>
      <c r="U163" s="92"/>
      <c r="V163" s="92"/>
      <c r="W163" s="92"/>
      <c r="X163" s="92"/>
      <c r="Y163" s="92"/>
      <c r="Z163" s="92"/>
    </row>
    <row r="164" spans="1:16383" s="91" customFormat="1" x14ac:dyDescent="0.25">
      <c r="A164" s="170"/>
      <c r="B164" s="165"/>
      <c r="C164" s="166"/>
      <c r="D164" s="171"/>
      <c r="E164" s="7" t="str">
        <f t="shared" ref="E164:R164" si="126" xml:space="preserve"> E$116</f>
        <v>Difference in nominal revenue</v>
      </c>
      <c r="F164" s="248">
        <f t="shared" si="126"/>
        <v>0</v>
      </c>
      <c r="G164" s="248" t="str">
        <f t="shared" si="126"/>
        <v>£m</v>
      </c>
      <c r="H164" s="248">
        <f t="shared" si="126"/>
        <v>11.977301120338197</v>
      </c>
      <c r="I164" s="248">
        <f t="shared" si="126"/>
        <v>0</v>
      </c>
      <c r="J164" s="248">
        <f t="shared" si="126"/>
        <v>0</v>
      </c>
      <c r="K164" s="248">
        <f t="shared" si="126"/>
        <v>0</v>
      </c>
      <c r="L164" s="248">
        <f t="shared" si="126"/>
        <v>0</v>
      </c>
      <c r="M164" s="248">
        <f t="shared" si="126"/>
        <v>-0.32228725868944252</v>
      </c>
      <c r="N164" s="248">
        <f t="shared" si="126"/>
        <v>0.64891054545337568</v>
      </c>
      <c r="O164" s="248">
        <f t="shared" si="126"/>
        <v>3.1939822604225299</v>
      </c>
      <c r="P164" s="248">
        <f t="shared" si="126"/>
        <v>4.0398119329873055</v>
      </c>
      <c r="Q164" s="248">
        <f t="shared" si="126"/>
        <v>4.4168836401644285</v>
      </c>
      <c r="R164" s="248">
        <f t="shared" si="126"/>
        <v>0</v>
      </c>
      <c r="S164" s="92"/>
      <c r="T164" s="92"/>
      <c r="U164" s="92"/>
      <c r="V164" s="92"/>
      <c r="W164" s="92"/>
      <c r="X164" s="92"/>
      <c r="Y164" s="92"/>
      <c r="Z164" s="92"/>
    </row>
    <row r="165" spans="1:16383" s="211" customFormat="1" x14ac:dyDescent="0.25">
      <c r="A165" s="224"/>
      <c r="B165" s="208"/>
      <c r="C165" s="209"/>
      <c r="D165" s="210"/>
      <c r="E165" s="7" t="s">
        <v>397</v>
      </c>
      <c r="F165" s="225">
        <f>SUM(J165:R165)</f>
        <v>0</v>
      </c>
      <c r="G165" s="211" t="s">
        <v>317</v>
      </c>
      <c r="J165" s="288">
        <f>IF( ABS(J163-J164)&gt;ChK_Tol,1,0)</f>
        <v>0</v>
      </c>
      <c r="K165" s="225">
        <f t="shared" ref="K165:Q165" si="127">IF( ABS(K163-K164)&gt;ChK_Tol,1,0)</f>
        <v>0</v>
      </c>
      <c r="L165" s="225">
        <f t="shared" si="127"/>
        <v>0</v>
      </c>
      <c r="M165" s="225">
        <f t="shared" si="127"/>
        <v>0</v>
      </c>
      <c r="N165" s="225">
        <f t="shared" si="127"/>
        <v>0</v>
      </c>
      <c r="O165" s="225">
        <f t="shared" si="127"/>
        <v>0</v>
      </c>
      <c r="P165" s="225">
        <f t="shared" si="127"/>
        <v>0</v>
      </c>
      <c r="Q165" s="225">
        <f t="shared" si="127"/>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28" xml:space="preserve"> N163=N164</f>
        <v>1</v>
      </c>
      <c r="O166" s="186" t="b">
        <f t="shared" si="128"/>
        <v>1</v>
      </c>
      <c r="P166" s="186" t="b">
        <f t="shared" si="128"/>
        <v>1</v>
      </c>
      <c r="Q166" s="186" t="b">
        <f t="shared" si="128"/>
        <v>1</v>
      </c>
    </row>
    <row r="167" spans="1:16383" x14ac:dyDescent="0.25">
      <c r="A167" s="50" t="s">
        <v>398</v>
      </c>
      <c r="B167" s="50"/>
    </row>
    <row r="169" spans="1:16383" x14ac:dyDescent="0.25">
      <c r="E169" s="7" t="str">
        <f>E$42 &amp; " - nominal"</f>
        <v>Forecast RCV average balance - nominal</v>
      </c>
      <c r="F169" s="184">
        <f t="shared" ref="F169:R169" si="129">F$42</f>
        <v>0</v>
      </c>
      <c r="G169" s="7" t="str">
        <f t="shared" si="129"/>
        <v>£m</v>
      </c>
      <c r="H169" s="247">
        <f t="shared" si="129"/>
        <v>0</v>
      </c>
      <c r="I169" s="247">
        <f t="shared" si="129"/>
        <v>0</v>
      </c>
      <c r="J169" s="184">
        <f t="shared" si="129"/>
        <v>0</v>
      </c>
      <c r="K169" s="184">
        <f t="shared" si="129"/>
        <v>0</v>
      </c>
      <c r="L169" s="184">
        <f t="shared" si="129"/>
        <v>706.458850174693</v>
      </c>
      <c r="M169" s="185">
        <f t="shared" si="129"/>
        <v>1418.8997760554721</v>
      </c>
      <c r="N169" s="184">
        <f t="shared" si="129"/>
        <v>1403.7612102992268</v>
      </c>
      <c r="O169" s="184">
        <f t="shared" si="129"/>
        <v>1391.368650874992</v>
      </c>
      <c r="P169" s="184">
        <f t="shared" si="129"/>
        <v>1379.7490529978058</v>
      </c>
      <c r="Q169" s="184">
        <f t="shared" si="129"/>
        <v>1368.2264927064105</v>
      </c>
      <c r="R169" s="184">
        <f t="shared" si="129"/>
        <v>1381.1726268007928</v>
      </c>
    </row>
    <row r="170" spans="1:16383" x14ac:dyDescent="0.25">
      <c r="E170" s="7" t="str">
        <f>E$93 &amp; " - nominal"</f>
        <v>Actual average RCV balance - nominal</v>
      </c>
      <c r="F170" s="184">
        <f t="shared" ref="F170:R170" si="130">F$93</f>
        <v>0</v>
      </c>
      <c r="G170" s="7" t="str">
        <f t="shared" si="130"/>
        <v>£m</v>
      </c>
      <c r="H170" s="247">
        <f t="shared" si="130"/>
        <v>0</v>
      </c>
      <c r="I170" s="247">
        <f t="shared" si="130"/>
        <v>0</v>
      </c>
      <c r="J170" s="184">
        <f t="shared" si="130"/>
        <v>0</v>
      </c>
      <c r="K170" s="184">
        <f t="shared" si="130"/>
        <v>0</v>
      </c>
      <c r="L170" s="184">
        <f t="shared" si="130"/>
        <v>706.458850174693</v>
      </c>
      <c r="M170" s="185">
        <f t="shared" si="130"/>
        <v>1413.7067031438314</v>
      </c>
      <c r="N170" s="184">
        <f t="shared" si="130"/>
        <v>1414.2172233274027</v>
      </c>
      <c r="O170" s="184">
        <f t="shared" si="130"/>
        <v>1442.8338649337466</v>
      </c>
      <c r="P170" s="184">
        <f t="shared" si="130"/>
        <v>1444.8432736090367</v>
      </c>
      <c r="Q170" s="184">
        <f t="shared" si="130"/>
        <v>1439.3965379600747</v>
      </c>
      <c r="R170" s="184">
        <f t="shared" si="130"/>
        <v>1438.9091294735595</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2" si="131" xml:space="preserve"> IF(J$171 = 0, 0, J169 / J$171)</f>
        <v>0</v>
      </c>
      <c r="K172" s="184">
        <f t="shared" si="131"/>
        <v>0</v>
      </c>
      <c r="L172" s="184">
        <f t="shared" si="131"/>
        <v>678.24200230947747</v>
      </c>
      <c r="M172" s="184">
        <f t="shared" si="131"/>
        <v>1335.7346674767407</v>
      </c>
      <c r="N172" s="184">
        <f t="shared" si="131"/>
        <v>1295.5186464290007</v>
      </c>
      <c r="O172" s="184">
        <f t="shared" si="131"/>
        <v>1257.9770657529907</v>
      </c>
      <c r="P172" s="184">
        <f t="shared" si="131"/>
        <v>1221.8133669749998</v>
      </c>
      <c r="Q172" s="184">
        <f t="shared" si="131"/>
        <v>1186.6892842161767</v>
      </c>
      <c r="R172" s="184">
        <f t="shared" si="131"/>
        <v>1174.429133880526</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ref="J173:R173" si="132" xml:space="preserve"> IF(J$171 = 0, 0, J170 / J$171)</f>
        <v>0</v>
      </c>
      <c r="K173" s="184">
        <f t="shared" si="132"/>
        <v>0</v>
      </c>
      <c r="L173" s="184">
        <f t="shared" si="132"/>
        <v>678.24200230947747</v>
      </c>
      <c r="M173" s="184">
        <f t="shared" si="132"/>
        <v>1330.8459729855085</v>
      </c>
      <c r="N173" s="184">
        <f t="shared" si="132"/>
        <v>1305.168407190248</v>
      </c>
      <c r="O173" s="184">
        <f t="shared" si="132"/>
        <v>1304.5082700670073</v>
      </c>
      <c r="P173" s="184">
        <f t="shared" si="132"/>
        <v>1279.4564497390854</v>
      </c>
      <c r="Q173" s="184">
        <f t="shared" si="132"/>
        <v>1248.4164401438804</v>
      </c>
      <c r="R173" s="184">
        <f t="shared" si="132"/>
        <v>1223.5232366099801</v>
      </c>
      <c r="S173" s="92"/>
      <c r="T173" s="92"/>
      <c r="U173" s="92"/>
      <c r="V173" s="92"/>
      <c r="W173" s="92"/>
      <c r="X173" s="92"/>
      <c r="Y173" s="92"/>
      <c r="Z173" s="92"/>
    </row>
    <row r="174" spans="1:16383" s="91" customFormat="1" x14ac:dyDescent="0.25">
      <c r="A174" s="170"/>
      <c r="B174" s="165"/>
      <c r="C174" s="166"/>
      <c r="D174" s="171"/>
      <c r="E174" s="7" t="s">
        <v>399</v>
      </c>
      <c r="F174" s="184"/>
      <c r="G174" s="184" t="s">
        <v>235</v>
      </c>
      <c r="H174" s="244"/>
      <c r="I174" s="184"/>
      <c r="J174" s="185">
        <f>J173-J172</f>
        <v>0</v>
      </c>
      <c r="K174" s="185">
        <f t="shared" ref="K174:R174" si="133">K173-K172</f>
        <v>0</v>
      </c>
      <c r="L174" s="185">
        <f t="shared" si="133"/>
        <v>0</v>
      </c>
      <c r="M174" s="185">
        <f t="shared" si="133"/>
        <v>-4.8886944912321724</v>
      </c>
      <c r="N174" s="185">
        <f t="shared" si="133"/>
        <v>9.6497607612473075</v>
      </c>
      <c r="O174" s="185">
        <f t="shared" si="133"/>
        <v>46.531204314016577</v>
      </c>
      <c r="P174" s="185">
        <f t="shared" si="133"/>
        <v>57.643082764085648</v>
      </c>
      <c r="Q174" s="185">
        <f t="shared" si="133"/>
        <v>61.727155927703734</v>
      </c>
      <c r="R174" s="185">
        <f t="shared" si="133"/>
        <v>49.094102729454107</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134">F$174</f>
        <v>0</v>
      </c>
      <c r="G176" s="184" t="str">
        <f t="shared" si="134"/>
        <v>£m</v>
      </c>
      <c r="H176" s="244">
        <f t="shared" si="134"/>
        <v>0</v>
      </c>
      <c r="I176" s="184">
        <f t="shared" si="134"/>
        <v>0</v>
      </c>
      <c r="J176" s="185">
        <f t="shared" si="134"/>
        <v>0</v>
      </c>
      <c r="K176" s="185">
        <f t="shared" si="134"/>
        <v>0</v>
      </c>
      <c r="L176" s="185">
        <f t="shared" si="134"/>
        <v>0</v>
      </c>
      <c r="M176" s="185">
        <f t="shared" si="134"/>
        <v>-4.8886944912321724</v>
      </c>
      <c r="N176" s="185">
        <f t="shared" si="134"/>
        <v>9.6497607612473075</v>
      </c>
      <c r="O176" s="185">
        <f t="shared" si="134"/>
        <v>46.531204314016577</v>
      </c>
      <c r="P176" s="185">
        <f t="shared" si="134"/>
        <v>57.643082764085648</v>
      </c>
      <c r="Q176" s="185">
        <f t="shared" si="134"/>
        <v>61.727155927703734</v>
      </c>
      <c r="R176" s="185">
        <f t="shared" si="134"/>
        <v>49.094102729454107</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412</v>
      </c>
      <c r="F178" s="271"/>
      <c r="G178" s="271" t="s">
        <v>235</v>
      </c>
      <c r="H178" s="270"/>
      <c r="I178" s="271"/>
      <c r="J178" s="271">
        <f xml:space="preserve"> J176 * J177</f>
        <v>0</v>
      </c>
      <c r="K178" s="271">
        <f t="shared" ref="K178:R178" si="135" xml:space="preserve"> K176 * K177</f>
        <v>0</v>
      </c>
      <c r="L178" s="271">
        <f t="shared" si="135"/>
        <v>0</v>
      </c>
      <c r="M178" s="271">
        <f t="shared" si="135"/>
        <v>0</v>
      </c>
      <c r="N178" s="271">
        <f t="shared" si="135"/>
        <v>0</v>
      </c>
      <c r="O178" s="271">
        <f t="shared" si="135"/>
        <v>0</v>
      </c>
      <c r="P178" s="271">
        <f t="shared" si="135"/>
        <v>0</v>
      </c>
      <c r="Q178" s="271">
        <f t="shared" si="135"/>
        <v>61.727155927703734</v>
      </c>
      <c r="R178" s="271">
        <f t="shared" si="13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401</v>
      </c>
      <c r="B180" s="50"/>
    </row>
    <row r="182" spans="1:26" s="91" customFormat="1" x14ac:dyDescent="0.25">
      <c r="A182" s="170"/>
      <c r="B182" s="165"/>
      <c r="C182" s="166"/>
      <c r="D182" s="171"/>
      <c r="E182" s="7" t="str">
        <f>E$135</f>
        <v>True up Nominal RCV run-off</v>
      </c>
      <c r="F182" s="184">
        <f t="shared" ref="F182:R182" si="136">F$135</f>
        <v>0</v>
      </c>
      <c r="G182" s="184" t="str">
        <f t="shared" si="136"/>
        <v>£m</v>
      </c>
      <c r="H182" s="184">
        <f t="shared" si="136"/>
        <v>0</v>
      </c>
      <c r="I182" s="184">
        <f t="shared" si="136"/>
        <v>0</v>
      </c>
      <c r="J182" s="184">
        <f t="shared" si="136"/>
        <v>0</v>
      </c>
      <c r="K182" s="184">
        <f t="shared" si="136"/>
        <v>0</v>
      </c>
      <c r="L182" s="184">
        <f t="shared" si="136"/>
        <v>0</v>
      </c>
      <c r="M182" s="185">
        <f t="shared" si="136"/>
        <v>56.585222340526251</v>
      </c>
      <c r="N182" s="184">
        <f t="shared" si="136"/>
        <v>55.981501680554615</v>
      </c>
      <c r="O182" s="184">
        <f t="shared" si="136"/>
        <v>55.487290784040184</v>
      </c>
      <c r="P182" s="184">
        <f t="shared" si="136"/>
        <v>55.023905321244541</v>
      </c>
      <c r="Q182" s="184">
        <f t="shared" si="136"/>
        <v>54.564389683125761</v>
      </c>
      <c r="R182" s="184">
        <f t="shared" si="13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37">F$153</f>
        <v>0</v>
      </c>
      <c r="G183" s="184" t="str">
        <f t="shared" si="137"/>
        <v>£m</v>
      </c>
      <c r="H183" s="184">
        <f t="shared" si="137"/>
        <v>0</v>
      </c>
      <c r="I183" s="184">
        <f t="shared" si="137"/>
        <v>0</v>
      </c>
      <c r="J183" s="184">
        <f t="shared" si="137"/>
        <v>0</v>
      </c>
      <c r="K183" s="184">
        <f t="shared" si="137"/>
        <v>0</v>
      </c>
      <c r="L183" s="184">
        <f t="shared" si="137"/>
        <v>0</v>
      </c>
      <c r="M183" s="184">
        <f t="shared" si="137"/>
        <v>31.473105928834009</v>
      </c>
      <c r="N183" s="184">
        <f t="shared" si="137"/>
        <v>31.13731217391393</v>
      </c>
      <c r="O183" s="184">
        <f t="shared" si="137"/>
        <v>30.862428533737031</v>
      </c>
      <c r="P183" s="184">
        <f t="shared" si="137"/>
        <v>30.604690220566109</v>
      </c>
      <c r="Q183" s="184">
        <f t="shared" si="137"/>
        <v>30.349104331596116</v>
      </c>
      <c r="R183" s="184">
        <f t="shared" si="13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38">F$157</f>
        <v>0</v>
      </c>
      <c r="G184" s="184" t="str">
        <f t="shared" si="138"/>
        <v>£m</v>
      </c>
      <c r="H184" s="184">
        <f t="shared" si="138"/>
        <v>432.06895099813858</v>
      </c>
      <c r="I184" s="184">
        <f t="shared" si="138"/>
        <v>0</v>
      </c>
      <c r="J184" s="184">
        <f t="shared" si="138"/>
        <v>0</v>
      </c>
      <c r="K184" s="184">
        <f t="shared" si="138"/>
        <v>0</v>
      </c>
      <c r="L184" s="184">
        <f t="shared" si="138"/>
        <v>0</v>
      </c>
      <c r="M184" s="184">
        <f t="shared" si="138"/>
        <v>88.05832826936026</v>
      </c>
      <c r="N184" s="184">
        <f t="shared" si="138"/>
        <v>87.118813854468542</v>
      </c>
      <c r="O184" s="184">
        <f t="shared" si="138"/>
        <v>86.349719317777215</v>
      </c>
      <c r="P184" s="184">
        <f t="shared" si="138"/>
        <v>85.628595541810654</v>
      </c>
      <c r="Q184" s="184">
        <f t="shared" si="138"/>
        <v>84.913494014721877</v>
      </c>
      <c r="R184" s="184">
        <f t="shared" si="13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39">F$106</f>
        <v>0</v>
      </c>
      <c r="G185" s="184" t="str">
        <f t="shared" si="139"/>
        <v>£m</v>
      </c>
      <c r="H185" s="184">
        <f t="shared" si="139"/>
        <v>0</v>
      </c>
      <c r="I185" s="184">
        <f t="shared" si="139"/>
        <v>0</v>
      </c>
      <c r="J185" s="184">
        <f t="shared" si="139"/>
        <v>0</v>
      </c>
      <c r="K185" s="184">
        <f t="shared" si="139"/>
        <v>0</v>
      </c>
      <c r="L185" s="184">
        <f t="shared" si="139"/>
        <v>0</v>
      </c>
      <c r="M185" s="184">
        <f t="shared" si="139"/>
        <v>56.378124425441186</v>
      </c>
      <c r="N185" s="184">
        <f t="shared" si="139"/>
        <v>56.398483790199862</v>
      </c>
      <c r="O185" s="184">
        <f t="shared" si="139"/>
        <v>57.539705358671519</v>
      </c>
      <c r="P185" s="184">
        <f t="shared" si="139"/>
        <v>57.619839867523417</v>
      </c>
      <c r="Q185" s="184">
        <f t="shared" si="139"/>
        <v>57.402625971991355</v>
      </c>
      <c r="R185" s="184">
        <f t="shared" si="13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40">F$107</f>
        <v>0</v>
      </c>
      <c r="G186" s="184" t="str">
        <f t="shared" si="140"/>
        <v>£m</v>
      </c>
      <c r="H186" s="184">
        <f t="shared" si="140"/>
        <v>0</v>
      </c>
      <c r="I186" s="184">
        <f t="shared" si="140"/>
        <v>0</v>
      </c>
      <c r="J186" s="184">
        <f t="shared" si="140"/>
        <v>0</v>
      </c>
      <c r="K186" s="184">
        <f t="shared" si="140"/>
        <v>0</v>
      </c>
      <c r="L186" s="184">
        <f t="shared" si="140"/>
        <v>0</v>
      </c>
      <c r="M186" s="184">
        <f t="shared" si="140"/>
        <v>31.357916585229631</v>
      </c>
      <c r="N186" s="184">
        <f t="shared" si="140"/>
        <v>31.369240609722056</v>
      </c>
      <c r="O186" s="184">
        <f t="shared" si="140"/>
        <v>32.003996219528233</v>
      </c>
      <c r="P186" s="184">
        <f t="shared" si="140"/>
        <v>32.048567607274549</v>
      </c>
      <c r="Q186" s="184">
        <f t="shared" si="140"/>
        <v>31.927751682894954</v>
      </c>
      <c r="R186" s="184">
        <f t="shared" si="14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41">F$108</f>
        <v>0</v>
      </c>
      <c r="G187" s="184" t="str">
        <f t="shared" si="141"/>
        <v>£m</v>
      </c>
      <c r="H187" s="184">
        <f t="shared" si="141"/>
        <v>444.04625211847679</v>
      </c>
      <c r="I187" s="184">
        <f t="shared" si="141"/>
        <v>0</v>
      </c>
      <c r="J187" s="184">
        <f t="shared" si="141"/>
        <v>0</v>
      </c>
      <c r="K187" s="184">
        <f t="shared" si="141"/>
        <v>0</v>
      </c>
      <c r="L187" s="184">
        <f t="shared" si="141"/>
        <v>0</v>
      </c>
      <c r="M187" s="184">
        <f t="shared" si="141"/>
        <v>87.736041010670817</v>
      </c>
      <c r="N187" s="184">
        <f t="shared" si="141"/>
        <v>87.767724399921917</v>
      </c>
      <c r="O187" s="184">
        <f t="shared" si="141"/>
        <v>89.543701578199745</v>
      </c>
      <c r="P187" s="184">
        <f t="shared" si="141"/>
        <v>89.668407474797959</v>
      </c>
      <c r="Q187" s="184">
        <f t="shared" si="141"/>
        <v>89.330377654886306</v>
      </c>
      <c r="R187" s="184">
        <f t="shared" si="14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42" xml:space="preserve"> E182 &amp; "- real"</f>
        <v>True up Nominal RCV run-off- real</v>
      </c>
      <c r="F189" s="184"/>
      <c r="G189" s="184" t="str">
        <f t="shared" ref="G189:G194" si="143">G$155</f>
        <v>£m</v>
      </c>
      <c r="H189" s="244">
        <f t="shared" ref="H189:H194" si="144">SUM(J189:R189)</f>
        <v>251.15137080547856</v>
      </c>
      <c r="I189" s="184"/>
      <c r="J189" s="184">
        <f t="shared" ref="J189:R189" si="145" xml:space="preserve"> IF(J$188 = 0, 0, J182 / J$188)</f>
        <v>0</v>
      </c>
      <c r="K189" s="184">
        <f t="shared" si="145"/>
        <v>0</v>
      </c>
      <c r="L189" s="184">
        <f t="shared" si="145"/>
        <v>0</v>
      </c>
      <c r="M189" s="185">
        <f t="shared" si="145"/>
        <v>53.268627159304977</v>
      </c>
      <c r="N189" s="184">
        <f t="shared" si="145"/>
        <v>51.664826432121913</v>
      </c>
      <c r="O189" s="184">
        <f t="shared" si="145"/>
        <v>50.167681443155644</v>
      </c>
      <c r="P189" s="184">
        <f t="shared" si="145"/>
        <v>48.725485898028964</v>
      </c>
      <c r="Q189" s="184">
        <f t="shared" si="145"/>
        <v>47.324749872867066</v>
      </c>
      <c r="R189" s="184">
        <f t="shared" si="145"/>
        <v>0</v>
      </c>
      <c r="S189" s="92"/>
      <c r="T189" s="92"/>
      <c r="U189" s="92"/>
      <c r="V189" s="92"/>
      <c r="W189" s="92"/>
      <c r="X189" s="92"/>
      <c r="Y189" s="92"/>
      <c r="Z189" s="92"/>
    </row>
    <row r="190" spans="1:26" s="91" customFormat="1" x14ac:dyDescent="0.25">
      <c r="A190" s="170"/>
      <c r="B190" s="165"/>
      <c r="C190" s="166"/>
      <c r="D190" s="171"/>
      <c r="E190" s="7" t="str">
        <f t="shared" si="142"/>
        <v>True up Nominal return- real</v>
      </c>
      <c r="F190" s="184"/>
      <c r="G190" s="184" t="str">
        <f t="shared" si="143"/>
        <v>£m</v>
      </c>
      <c r="H190" s="244">
        <f t="shared" si="144"/>
        <v>139.69219118666419</v>
      </c>
      <c r="I190" s="184"/>
      <c r="J190" s="184">
        <f t="shared" ref="J190:R190" si="146" xml:space="preserve"> IF(J$188 = 0, 0, J183 / J$188)</f>
        <v>0</v>
      </c>
      <c r="K190" s="184">
        <f t="shared" si="146"/>
        <v>0</v>
      </c>
      <c r="L190" s="184">
        <f t="shared" si="146"/>
        <v>0</v>
      </c>
      <c r="M190" s="185">
        <f t="shared" si="146"/>
        <v>29.628391935603339</v>
      </c>
      <c r="N190" s="184">
        <f xml:space="preserve"> IF(N$188 = 0, 0, N183 / N$188)</f>
        <v>28.736346484732636</v>
      </c>
      <c r="O190" s="184">
        <f t="shared" si="146"/>
        <v>27.903623719325889</v>
      </c>
      <c r="P190" s="184">
        <f t="shared" si="146"/>
        <v>27.101464228130325</v>
      </c>
      <c r="Q190" s="184">
        <f t="shared" si="146"/>
        <v>26.322364818872014</v>
      </c>
      <c r="R190" s="184">
        <f t="shared" si="146"/>
        <v>0</v>
      </c>
      <c r="S190" s="92"/>
      <c r="T190" s="92"/>
      <c r="U190" s="92"/>
      <c r="V190" s="92"/>
      <c r="W190" s="92"/>
      <c r="X190" s="92"/>
      <c r="Y190" s="92"/>
      <c r="Z190" s="92"/>
    </row>
    <row r="191" spans="1:26" s="91" customFormat="1" x14ac:dyDescent="0.25">
      <c r="A191" s="170"/>
      <c r="B191" s="165"/>
      <c r="C191" s="166"/>
      <c r="D191" s="171"/>
      <c r="E191" s="7" t="str">
        <f t="shared" si="142"/>
        <v>Total True up Nominal revenue to company- real</v>
      </c>
      <c r="F191" s="184"/>
      <c r="G191" s="184" t="str">
        <f t="shared" si="143"/>
        <v>£m</v>
      </c>
      <c r="H191" s="244">
        <f t="shared" si="144"/>
        <v>390.84356199214278</v>
      </c>
      <c r="I191" s="184"/>
      <c r="J191" s="184">
        <f t="shared" ref="J191:R191" si="147" xml:space="preserve"> IF(J$188 = 0, 0, J184 / J$188)</f>
        <v>0</v>
      </c>
      <c r="K191" s="184">
        <f t="shared" si="147"/>
        <v>0</v>
      </c>
      <c r="L191" s="184">
        <f t="shared" si="147"/>
        <v>0</v>
      </c>
      <c r="M191" s="185">
        <f t="shared" si="147"/>
        <v>82.897019094908316</v>
      </c>
      <c r="N191" s="184">
        <f t="shared" si="147"/>
        <v>80.401172916854549</v>
      </c>
      <c r="O191" s="184">
        <f t="shared" si="147"/>
        <v>78.071305162481536</v>
      </c>
      <c r="P191" s="184">
        <f t="shared" si="147"/>
        <v>75.826950126159289</v>
      </c>
      <c r="Q191" s="184">
        <f t="shared" si="147"/>
        <v>73.647114691739077</v>
      </c>
      <c r="R191" s="184">
        <f t="shared" si="147"/>
        <v>0</v>
      </c>
      <c r="S191" s="92"/>
      <c r="T191" s="92"/>
      <c r="U191" s="92"/>
      <c r="V191" s="92"/>
      <c r="W191" s="92"/>
      <c r="X191" s="92"/>
      <c r="Y191" s="92"/>
      <c r="Z191" s="92"/>
    </row>
    <row r="192" spans="1:26" s="91" customFormat="1" x14ac:dyDescent="0.25">
      <c r="A192" s="170"/>
      <c r="B192" s="165"/>
      <c r="C192" s="166"/>
      <c r="D192" s="171"/>
      <c r="E192" s="7" t="str">
        <f t="shared" si="142"/>
        <v>RCV run-off company should have received- real</v>
      </c>
      <c r="F192" s="184"/>
      <c r="G192" s="184" t="str">
        <f t="shared" si="143"/>
        <v>£m</v>
      </c>
      <c r="H192" s="244">
        <f t="shared" si="144"/>
        <v>257.9573314487389</v>
      </c>
      <c r="I192" s="184"/>
      <c r="J192" s="184">
        <f t="shared" ref="J192:R192" si="148" xml:space="preserve"> IF(J$188 = 0, 0, J185 / J$188)</f>
        <v>0</v>
      </c>
      <c r="K192" s="184">
        <f t="shared" si="148"/>
        <v>0</v>
      </c>
      <c r="L192" s="184">
        <f t="shared" si="148"/>
        <v>0</v>
      </c>
      <c r="M192" s="185">
        <f t="shared" si="148"/>
        <v>53.073667748210916</v>
      </c>
      <c r="N192" s="184">
        <f t="shared" si="148"/>
        <v>52.049655485887804</v>
      </c>
      <c r="O192" s="184">
        <f t="shared" si="148"/>
        <v>52.02332945037481</v>
      </c>
      <c r="P192" s="184">
        <f t="shared" si="148"/>
        <v>51.024271696464119</v>
      </c>
      <c r="Q192" s="184">
        <f t="shared" si="148"/>
        <v>49.786407067801242</v>
      </c>
      <c r="R192" s="184">
        <f t="shared" si="148"/>
        <v>0</v>
      </c>
      <c r="S192" s="92"/>
      <c r="T192" s="92"/>
      <c r="U192" s="92"/>
      <c r="V192" s="92"/>
      <c r="W192" s="92"/>
      <c r="X192" s="92"/>
      <c r="Y192" s="92"/>
      <c r="Z192" s="92"/>
    </row>
    <row r="193" spans="1:26" s="91" customFormat="1" x14ac:dyDescent="0.25">
      <c r="A193" s="170"/>
      <c r="B193" s="165"/>
      <c r="C193" s="166"/>
      <c r="D193" s="171"/>
      <c r="E193" s="7" t="str">
        <f t="shared" si="142"/>
        <v>Nominal return company should have received- real</v>
      </c>
      <c r="F193" s="184"/>
      <c r="G193" s="184" t="str">
        <f t="shared" si="143"/>
        <v>£m</v>
      </c>
      <c r="H193" s="244">
        <f t="shared" si="144"/>
        <v>143.47771524069614</v>
      </c>
      <c r="I193" s="184"/>
      <c r="J193" s="184">
        <f t="shared" ref="J193:R193" si="149" xml:space="preserve"> IF(J$188 = 0, 0, J186 / J$188)</f>
        <v>0</v>
      </c>
      <c r="K193" s="184">
        <f t="shared" si="149"/>
        <v>0</v>
      </c>
      <c r="L193" s="184">
        <f t="shared" si="149"/>
        <v>0</v>
      </c>
      <c r="M193" s="185">
        <f t="shared" si="149"/>
        <v>29.519954114854649</v>
      </c>
      <c r="N193" s="184">
        <f t="shared" si="149"/>
        <v>28.950391160580669</v>
      </c>
      <c r="O193" s="184">
        <f t="shared" si="149"/>
        <v>28.935748431081432</v>
      </c>
      <c r="P193" s="184">
        <f t="shared" si="149"/>
        <v>28.380065353110485</v>
      </c>
      <c r="Q193" s="184">
        <f t="shared" si="149"/>
        <v>27.691556181068915</v>
      </c>
      <c r="R193" s="184">
        <f t="shared" si="149"/>
        <v>0</v>
      </c>
      <c r="S193" s="92"/>
      <c r="T193" s="92"/>
      <c r="U193" s="92"/>
      <c r="V193" s="92"/>
      <c r="W193" s="92"/>
      <c r="X193" s="92"/>
      <c r="Y193" s="92"/>
      <c r="Z193" s="92"/>
    </row>
    <row r="194" spans="1:26" s="91" customFormat="1" x14ac:dyDescent="0.25">
      <c r="A194" s="170"/>
      <c r="B194" s="165"/>
      <c r="C194" s="166"/>
      <c r="D194" s="171"/>
      <c r="E194" s="7" t="str">
        <f t="shared" si="142"/>
        <v>Total nominal revenue company should have received- real</v>
      </c>
      <c r="F194" s="184"/>
      <c r="G194" s="184" t="str">
        <f t="shared" si="143"/>
        <v>£m</v>
      </c>
      <c r="H194" s="244">
        <f t="shared" si="144"/>
        <v>401.43504668943501</v>
      </c>
      <c r="I194" s="184"/>
      <c r="J194" s="184">
        <f t="shared" ref="J194:R194" si="150" xml:space="preserve"> IF(J$188 = 0, 0, J187 / J$188)</f>
        <v>0</v>
      </c>
      <c r="K194" s="184">
        <f t="shared" si="150"/>
        <v>0</v>
      </c>
      <c r="L194" s="184">
        <f t="shared" si="150"/>
        <v>0</v>
      </c>
      <c r="M194" s="185">
        <f t="shared" si="150"/>
        <v>82.593621863065565</v>
      </c>
      <c r="N194" s="184">
        <f t="shared" si="150"/>
        <v>81.000046646468476</v>
      </c>
      <c r="O194" s="184">
        <f t="shared" si="150"/>
        <v>80.959077881456238</v>
      </c>
      <c r="P194" s="184">
        <f t="shared" si="150"/>
        <v>79.404337049574593</v>
      </c>
      <c r="Q194" s="184">
        <f t="shared" si="150"/>
        <v>77.477963248870154</v>
      </c>
      <c r="R194" s="184">
        <f t="shared" si="150"/>
        <v>0</v>
      </c>
      <c r="S194" s="92"/>
      <c r="T194" s="92"/>
      <c r="U194" s="92"/>
      <c r="V194" s="92"/>
      <c r="W194" s="92"/>
      <c r="X194" s="92"/>
      <c r="Y194" s="92"/>
      <c r="Z194" s="92"/>
    </row>
    <row r="196" spans="1:26" x14ac:dyDescent="0.25">
      <c r="E196" s="7" t="str">
        <f>E$189</f>
        <v>True up Nominal RCV run-off- real</v>
      </c>
      <c r="F196" s="184">
        <f t="shared" ref="F196:R196" si="151">F$189</f>
        <v>0</v>
      </c>
      <c r="G196" s="7" t="str">
        <f t="shared" si="151"/>
        <v>£m</v>
      </c>
      <c r="H196" s="247">
        <f t="shared" si="151"/>
        <v>251.15137080547856</v>
      </c>
      <c r="I196" s="247">
        <f t="shared" si="151"/>
        <v>0</v>
      </c>
      <c r="J196" s="184">
        <f t="shared" si="151"/>
        <v>0</v>
      </c>
      <c r="K196" s="184">
        <f t="shared" si="151"/>
        <v>0</v>
      </c>
      <c r="L196" s="184">
        <f t="shared" si="151"/>
        <v>0</v>
      </c>
      <c r="M196" s="185">
        <f t="shared" si="151"/>
        <v>53.268627159304977</v>
      </c>
      <c r="N196" s="184">
        <f t="shared" si="151"/>
        <v>51.664826432121913</v>
      </c>
      <c r="O196" s="184">
        <f t="shared" si="151"/>
        <v>50.167681443155644</v>
      </c>
      <c r="P196" s="184">
        <f t="shared" si="151"/>
        <v>48.725485898028964</v>
      </c>
      <c r="Q196" s="184">
        <f t="shared" si="151"/>
        <v>47.324749872867066</v>
      </c>
      <c r="R196" s="184">
        <f t="shared" si="151"/>
        <v>0</v>
      </c>
    </row>
    <row r="197" spans="1:26" x14ac:dyDescent="0.25">
      <c r="E197" s="7" t="str">
        <f>E$192</f>
        <v>RCV run-off company should have received- real</v>
      </c>
      <c r="F197" s="184">
        <f t="shared" ref="F197:R197" si="152">F$192</f>
        <v>0</v>
      </c>
      <c r="G197" s="7" t="str">
        <f t="shared" si="152"/>
        <v>£m</v>
      </c>
      <c r="H197" s="247">
        <f t="shared" si="152"/>
        <v>257.9573314487389</v>
      </c>
      <c r="I197" s="247">
        <f t="shared" si="152"/>
        <v>0</v>
      </c>
      <c r="J197" s="184">
        <f t="shared" si="152"/>
        <v>0</v>
      </c>
      <c r="K197" s="184">
        <f t="shared" si="152"/>
        <v>0</v>
      </c>
      <c r="L197" s="184">
        <f t="shared" si="152"/>
        <v>0</v>
      </c>
      <c r="M197" s="185">
        <f t="shared" si="152"/>
        <v>53.073667748210916</v>
      </c>
      <c r="N197" s="184">
        <f t="shared" si="152"/>
        <v>52.049655485887804</v>
      </c>
      <c r="O197" s="184">
        <f t="shared" si="152"/>
        <v>52.02332945037481</v>
      </c>
      <c r="P197" s="184">
        <f t="shared" si="152"/>
        <v>51.024271696464119</v>
      </c>
      <c r="Q197" s="184">
        <f t="shared" si="152"/>
        <v>49.786407067801242</v>
      </c>
      <c r="R197" s="184">
        <f t="shared" si="152"/>
        <v>0</v>
      </c>
    </row>
    <row r="198" spans="1:26" x14ac:dyDescent="0.25">
      <c r="C198" s="278"/>
      <c r="E198" s="7" t="s">
        <v>402</v>
      </c>
      <c r="G198" s="7" t="s">
        <v>235</v>
      </c>
      <c r="H198" s="185">
        <f xml:space="preserve"> SUM(J198:R198)</f>
        <v>6.8059606432603275</v>
      </c>
      <c r="I198" s="185"/>
      <c r="J198" s="184">
        <f t="shared" ref="J198:K198" si="153">J197-J196</f>
        <v>0</v>
      </c>
      <c r="K198" s="184">
        <f t="shared" si="153"/>
        <v>0</v>
      </c>
      <c r="L198" s="184">
        <f>L197-L196</f>
        <v>0</v>
      </c>
      <c r="M198" s="185">
        <f>M197-M196</f>
        <v>-0.1949594110940609</v>
      </c>
      <c r="N198" s="184">
        <f t="shared" ref="N198:R198" si="154">N197-N196</f>
        <v>0.38482905376589116</v>
      </c>
      <c r="O198" s="184">
        <f t="shared" si="154"/>
        <v>1.8556480072191661</v>
      </c>
      <c r="P198" s="184">
        <f t="shared" si="154"/>
        <v>2.298785798435155</v>
      </c>
      <c r="Q198" s="184">
        <f t="shared" si="154"/>
        <v>2.4616571949341761</v>
      </c>
      <c r="R198" s="184">
        <f t="shared" si="154"/>
        <v>0</v>
      </c>
    </row>
    <row r="200" spans="1:26" x14ac:dyDescent="0.25">
      <c r="E200" s="7" t="str">
        <f>E$190</f>
        <v>True up Nominal return- real</v>
      </c>
      <c r="F200" s="184">
        <f t="shared" ref="F200:R200" si="155">F$190</f>
        <v>0</v>
      </c>
      <c r="G200" s="7" t="str">
        <f t="shared" si="155"/>
        <v>£m</v>
      </c>
      <c r="H200" s="247">
        <f t="shared" si="155"/>
        <v>139.69219118666419</v>
      </c>
      <c r="I200" s="247">
        <f t="shared" si="155"/>
        <v>0</v>
      </c>
      <c r="J200" s="184">
        <f t="shared" si="155"/>
        <v>0</v>
      </c>
      <c r="K200" s="184">
        <f t="shared" si="155"/>
        <v>0</v>
      </c>
      <c r="L200" s="184">
        <f t="shared" si="155"/>
        <v>0</v>
      </c>
      <c r="M200" s="185">
        <f t="shared" si="155"/>
        <v>29.628391935603339</v>
      </c>
      <c r="N200" s="184">
        <f t="shared" si="155"/>
        <v>28.736346484732636</v>
      </c>
      <c r="O200" s="184">
        <f t="shared" si="155"/>
        <v>27.903623719325889</v>
      </c>
      <c r="P200" s="184">
        <f t="shared" si="155"/>
        <v>27.101464228130325</v>
      </c>
      <c r="Q200" s="184">
        <f t="shared" si="155"/>
        <v>26.322364818872014</v>
      </c>
      <c r="R200" s="184">
        <f t="shared" si="155"/>
        <v>0</v>
      </c>
    </row>
    <row r="201" spans="1:26" x14ac:dyDescent="0.25">
      <c r="E201" s="7" t="str">
        <f>E$193</f>
        <v>Nominal return company should have received- real</v>
      </c>
      <c r="F201" s="184">
        <f t="shared" ref="F201:R201" si="156">F$193</f>
        <v>0</v>
      </c>
      <c r="G201" s="7" t="str">
        <f t="shared" si="156"/>
        <v>£m</v>
      </c>
      <c r="H201" s="247">
        <f t="shared" si="156"/>
        <v>143.47771524069614</v>
      </c>
      <c r="I201" s="247">
        <f t="shared" si="156"/>
        <v>0</v>
      </c>
      <c r="J201" s="184">
        <f t="shared" si="156"/>
        <v>0</v>
      </c>
      <c r="K201" s="184">
        <f t="shared" si="156"/>
        <v>0</v>
      </c>
      <c r="L201" s="184">
        <f t="shared" si="156"/>
        <v>0</v>
      </c>
      <c r="M201" s="185">
        <f t="shared" si="156"/>
        <v>29.519954114854649</v>
      </c>
      <c r="N201" s="184">
        <f t="shared" si="156"/>
        <v>28.950391160580669</v>
      </c>
      <c r="O201" s="184">
        <f t="shared" si="156"/>
        <v>28.935748431081432</v>
      </c>
      <c r="P201" s="184">
        <f t="shared" si="156"/>
        <v>28.380065353110485</v>
      </c>
      <c r="Q201" s="184">
        <f t="shared" si="156"/>
        <v>27.691556181068915</v>
      </c>
      <c r="R201" s="184">
        <f t="shared" si="156"/>
        <v>0</v>
      </c>
    </row>
    <row r="202" spans="1:26" x14ac:dyDescent="0.25">
      <c r="C202" s="278"/>
      <c r="E202" s="7" t="s">
        <v>403</v>
      </c>
      <c r="G202" s="7" t="s">
        <v>235</v>
      </c>
      <c r="H202" s="185">
        <f xml:space="preserve"> SUM(J202:R202)</f>
        <v>3.7855240540319457</v>
      </c>
      <c r="I202" s="185"/>
      <c r="J202" s="184">
        <f t="shared" ref="J202:K202" si="157">J201-J200</f>
        <v>0</v>
      </c>
      <c r="K202" s="184">
        <f t="shared" si="157"/>
        <v>0</v>
      </c>
      <c r="L202" s="184">
        <f>L201-L200</f>
        <v>0</v>
      </c>
      <c r="M202" s="185">
        <f>M201-M200</f>
        <v>-0.10843782074869068</v>
      </c>
      <c r="N202" s="184">
        <f t="shared" ref="N202:R202" si="158">N201-N200</f>
        <v>0.21404467584803299</v>
      </c>
      <c r="O202" s="184">
        <f>O201-O200</f>
        <v>1.032124711755543</v>
      </c>
      <c r="P202" s="184">
        <f t="shared" si="158"/>
        <v>1.2786011249801597</v>
      </c>
      <c r="Q202" s="184">
        <f t="shared" si="158"/>
        <v>1.3691913621969007</v>
      </c>
      <c r="R202" s="184">
        <f t="shared" si="158"/>
        <v>0</v>
      </c>
    </row>
    <row r="204" spans="1:26" x14ac:dyDescent="0.25">
      <c r="E204" s="7" t="str">
        <f>E$191</f>
        <v>Total True up Nominal revenue to company- real</v>
      </c>
      <c r="F204" s="184">
        <f t="shared" ref="F204:R204" si="159">F$191</f>
        <v>0</v>
      </c>
      <c r="G204" s="7" t="str">
        <f t="shared" si="159"/>
        <v>£m</v>
      </c>
      <c r="H204" s="247">
        <f t="shared" si="159"/>
        <v>390.84356199214278</v>
      </c>
      <c r="I204" s="247"/>
      <c r="J204" s="184">
        <f t="shared" si="159"/>
        <v>0</v>
      </c>
      <c r="K204" s="184">
        <f t="shared" si="159"/>
        <v>0</v>
      </c>
      <c r="L204" s="184">
        <f t="shared" si="159"/>
        <v>0</v>
      </c>
      <c r="M204" s="185">
        <f t="shared" si="159"/>
        <v>82.897019094908316</v>
      </c>
      <c r="N204" s="184">
        <f t="shared" si="159"/>
        <v>80.401172916854549</v>
      </c>
      <c r="O204" s="184">
        <f t="shared" si="159"/>
        <v>78.071305162481536</v>
      </c>
      <c r="P204" s="184">
        <f t="shared" si="159"/>
        <v>75.826950126159289</v>
      </c>
      <c r="Q204" s="184">
        <f t="shared" si="159"/>
        <v>73.647114691739077</v>
      </c>
      <c r="R204" s="184">
        <f t="shared" si="159"/>
        <v>0</v>
      </c>
    </row>
    <row r="205" spans="1:26" x14ac:dyDescent="0.25">
      <c r="E205" s="7" t="str">
        <f>E$194</f>
        <v>Total nominal revenue company should have received- real</v>
      </c>
      <c r="F205" s="184">
        <f t="shared" ref="F205:R205" si="160">F$194</f>
        <v>0</v>
      </c>
      <c r="G205" s="7" t="str">
        <f t="shared" si="160"/>
        <v>£m</v>
      </c>
      <c r="H205" s="247">
        <f t="shared" si="160"/>
        <v>401.43504668943501</v>
      </c>
      <c r="I205" s="247"/>
      <c r="J205" s="184">
        <f t="shared" si="160"/>
        <v>0</v>
      </c>
      <c r="K205" s="184">
        <f t="shared" si="160"/>
        <v>0</v>
      </c>
      <c r="L205" s="184">
        <f t="shared" si="160"/>
        <v>0</v>
      </c>
      <c r="M205" s="185">
        <f t="shared" si="160"/>
        <v>82.593621863065565</v>
      </c>
      <c r="N205" s="184">
        <f t="shared" si="160"/>
        <v>81.000046646468476</v>
      </c>
      <c r="O205" s="184">
        <f t="shared" si="160"/>
        <v>80.959077881456238</v>
      </c>
      <c r="P205" s="184">
        <f t="shared" si="160"/>
        <v>79.404337049574593</v>
      </c>
      <c r="Q205" s="184">
        <f t="shared" si="160"/>
        <v>77.477963248870154</v>
      </c>
      <c r="R205" s="184">
        <f t="shared" si="160"/>
        <v>0</v>
      </c>
    </row>
    <row r="206" spans="1:26" x14ac:dyDescent="0.25">
      <c r="C206" s="278"/>
      <c r="E206" s="7" t="s">
        <v>404</v>
      </c>
      <c r="G206" s="7" t="s">
        <v>235</v>
      </c>
      <c r="H206" s="185">
        <f xml:space="preserve"> SUM(J206:R206)</f>
        <v>10.591484697292259</v>
      </c>
      <c r="I206" s="185"/>
      <c r="J206" s="184">
        <f t="shared" ref="J206:K206" si="161">J205-J204</f>
        <v>0</v>
      </c>
      <c r="K206" s="184">
        <f t="shared" si="161"/>
        <v>0</v>
      </c>
      <c r="L206" s="184">
        <f>L205-L204</f>
        <v>0</v>
      </c>
      <c r="M206" s="185">
        <f>M205-M204</f>
        <v>-0.30339723184275158</v>
      </c>
      <c r="N206" s="184">
        <f t="shared" ref="N206:R206" si="162">N205-N204</f>
        <v>0.59887372961392771</v>
      </c>
      <c r="O206" s="184">
        <f t="shared" si="162"/>
        <v>2.887772718974702</v>
      </c>
      <c r="P206" s="184">
        <f t="shared" si="162"/>
        <v>3.577386923415304</v>
      </c>
      <c r="Q206" s="184">
        <f t="shared" si="162"/>
        <v>3.8308485571310769</v>
      </c>
      <c r="R206" s="184">
        <f t="shared" si="162"/>
        <v>0</v>
      </c>
    </row>
    <row r="208" spans="1:26" x14ac:dyDescent="0.25">
      <c r="B208" s="61" t="s">
        <v>405</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InpR!E$109</f>
        <v>WACC real on RCV - CPI(H) bf and additions - WN</v>
      </c>
      <c r="F210" s="205">
        <f>InpR!F$109</f>
        <v>0</v>
      </c>
      <c r="G210" s="223" t="str">
        <f>InpR!G$109</f>
        <v>%</v>
      </c>
      <c r="H210" s="205" t="str">
        <f>InpR!I$109</f>
        <v>PR19 Financial model, 'Water Network' sheet row 860</v>
      </c>
      <c r="I210" s="205" t="e">
        <f>InpR!#REF!</f>
        <v>#REF!</v>
      </c>
      <c r="J210" s="205">
        <f>InpR!J$109</f>
        <v>0</v>
      </c>
      <c r="K210" s="205">
        <f>InpR!K$109</f>
        <v>0</v>
      </c>
      <c r="L210" s="205">
        <f>InpR!L$109</f>
        <v>0</v>
      </c>
      <c r="M210" s="205">
        <f>InpR!M$109</f>
        <v>3.1200592500000068E-2</v>
      </c>
      <c r="N210" s="205">
        <f>InpR!N$109</f>
        <v>3.1200592500000068E-2</v>
      </c>
      <c r="O210" s="205">
        <f>InpR!O$109</f>
        <v>3.1200592500000068E-2</v>
      </c>
      <c r="P210" s="205">
        <f>InpR!P$109</f>
        <v>3.1200592500000068E-2</v>
      </c>
      <c r="Q210" s="205">
        <f>InpR!Q$109</f>
        <v>3.1200592500000068E-2</v>
      </c>
      <c r="R210" s="205">
        <f>InpR!R$109</f>
        <v>0</v>
      </c>
    </row>
    <row r="211" spans="1:18" x14ac:dyDescent="0.25">
      <c r="E211" s="7" t="s">
        <v>406</v>
      </c>
      <c r="G211" s="7" t="s">
        <v>407</v>
      </c>
      <c r="J211" s="255">
        <f xml:space="preserve"> (1 + J$210) ^ J$209</f>
        <v>1</v>
      </c>
      <c r="K211" s="255">
        <f t="shared" ref="K211:R211" si="163" xml:space="preserve"> (1 + K$210) ^ K$209</f>
        <v>1</v>
      </c>
      <c r="L211" s="255">
        <f t="shared" si="163"/>
        <v>1</v>
      </c>
      <c r="M211" s="255">
        <f t="shared" si="163"/>
        <v>1.1307656717248122</v>
      </c>
      <c r="N211" s="255">
        <f t="shared" si="163"/>
        <v>1.0965525814753758</v>
      </c>
      <c r="O211" s="255">
        <f t="shared" si="163"/>
        <v>1.0633746619723512</v>
      </c>
      <c r="P211" s="255">
        <f t="shared" si="163"/>
        <v>1.0312005925000001</v>
      </c>
      <c r="Q211" s="255">
        <f t="shared" si="163"/>
        <v>1</v>
      </c>
      <c r="R211" s="255">
        <f t="shared" si="163"/>
        <v>1</v>
      </c>
    </row>
    <row r="213" spans="1:18" x14ac:dyDescent="0.25">
      <c r="B213" s="61" t="s">
        <v>408</v>
      </c>
    </row>
    <row r="214" spans="1:18" x14ac:dyDescent="0.25">
      <c r="E214" s="7" t="str">
        <f>E$198</f>
        <v>Value of True up run-off - real</v>
      </c>
      <c r="F214" s="184">
        <f t="shared" ref="F214:R214" si="164">F$198</f>
        <v>0</v>
      </c>
      <c r="G214" s="7" t="str">
        <f t="shared" si="164"/>
        <v>£m</v>
      </c>
      <c r="H214" s="247">
        <f t="shared" si="164"/>
        <v>6.8059606432603275</v>
      </c>
      <c r="I214" s="247">
        <f t="shared" si="164"/>
        <v>0</v>
      </c>
      <c r="J214" s="184">
        <f t="shared" si="164"/>
        <v>0</v>
      </c>
      <c r="K214" s="184">
        <f t="shared" si="164"/>
        <v>0</v>
      </c>
      <c r="L214" s="184">
        <f t="shared" si="164"/>
        <v>0</v>
      </c>
      <c r="M214" s="185">
        <f t="shared" si="164"/>
        <v>-0.1949594110940609</v>
      </c>
      <c r="N214" s="184">
        <f t="shared" si="164"/>
        <v>0.38482905376589116</v>
      </c>
      <c r="O214" s="184">
        <f t="shared" si="164"/>
        <v>1.8556480072191661</v>
      </c>
      <c r="P214" s="184">
        <f t="shared" si="164"/>
        <v>2.298785798435155</v>
      </c>
      <c r="Q214" s="184">
        <f t="shared" si="164"/>
        <v>2.4616571949341761</v>
      </c>
      <c r="R214" s="184">
        <f t="shared" si="164"/>
        <v>0</v>
      </c>
    </row>
    <row r="215" spans="1:18" x14ac:dyDescent="0.25">
      <c r="E215" s="7" t="str">
        <f>E$211</f>
        <v xml:space="preserve">Time value of money factor </v>
      </c>
      <c r="F215" s="184">
        <f t="shared" ref="F215:R215" si="165">F$211</f>
        <v>0</v>
      </c>
      <c r="G215" s="7" t="str">
        <f t="shared" si="165"/>
        <v>Factor</v>
      </c>
      <c r="H215" s="247">
        <f t="shared" si="165"/>
        <v>0</v>
      </c>
      <c r="I215" s="247">
        <f t="shared" si="165"/>
        <v>0</v>
      </c>
      <c r="J215" s="184">
        <f t="shared" si="165"/>
        <v>1</v>
      </c>
      <c r="K215" s="184">
        <f t="shared" si="165"/>
        <v>1</v>
      </c>
      <c r="L215" s="184">
        <f t="shared" si="165"/>
        <v>1</v>
      </c>
      <c r="M215" s="185">
        <f t="shared" si="165"/>
        <v>1.1307656717248122</v>
      </c>
      <c r="N215" s="184">
        <f t="shared" si="165"/>
        <v>1.0965525814753758</v>
      </c>
      <c r="O215" s="184">
        <f t="shared" si="165"/>
        <v>1.0633746619723512</v>
      </c>
      <c r="P215" s="184">
        <f t="shared" si="165"/>
        <v>1.0312005925000001</v>
      </c>
      <c r="Q215" s="184">
        <f t="shared" si="165"/>
        <v>1</v>
      </c>
      <c r="R215" s="184">
        <f t="shared" si="165"/>
        <v>1</v>
      </c>
    </row>
    <row r="216" spans="1:18" s="34" customFormat="1" x14ac:dyDescent="0.25">
      <c r="A216" s="265"/>
      <c r="B216" s="266"/>
      <c r="C216" s="267"/>
      <c r="D216" s="268"/>
      <c r="E216" s="34" t="s">
        <v>413</v>
      </c>
      <c r="G216" s="34" t="s">
        <v>235</v>
      </c>
      <c r="H216" s="271">
        <f xml:space="preserve"> SUM(J216:R216)</f>
        <v>7.0069474276163062</v>
      </c>
      <c r="J216" s="271">
        <f xml:space="preserve"> J214 * J215</f>
        <v>0</v>
      </c>
      <c r="K216" s="271">
        <f t="shared" ref="K216:R216" si="166" xml:space="preserve"> K214 * K215</f>
        <v>0</v>
      </c>
      <c r="L216" s="271">
        <f t="shared" si="166"/>
        <v>0</v>
      </c>
      <c r="M216" s="277">
        <f t="shared" si="166"/>
        <v>-0.22045340944484959</v>
      </c>
      <c r="N216" s="271">
        <f t="shared" si="166"/>
        <v>0.42198529233371412</v>
      </c>
      <c r="O216" s="271">
        <f t="shared" si="166"/>
        <v>1.9732490724163478</v>
      </c>
      <c r="P216" s="271">
        <f t="shared" si="166"/>
        <v>2.3705092773769176</v>
      </c>
      <c r="Q216" s="271">
        <f t="shared" si="166"/>
        <v>2.4616571949341761</v>
      </c>
      <c r="R216" s="271">
        <f t="shared" si="166"/>
        <v>0</v>
      </c>
    </row>
    <row r="218" spans="1:18" x14ac:dyDescent="0.25">
      <c r="B218" s="61" t="s">
        <v>410</v>
      </c>
    </row>
    <row r="219" spans="1:18" x14ac:dyDescent="0.25">
      <c r="E219" s="7" t="str">
        <f>E202</f>
        <v>Value of True up return - real</v>
      </c>
      <c r="F219" s="184">
        <f t="shared" ref="F219:R219" si="167">F202</f>
        <v>0</v>
      </c>
      <c r="G219" s="7" t="str">
        <f t="shared" si="167"/>
        <v>£m</v>
      </c>
      <c r="H219" s="247">
        <f t="shared" si="167"/>
        <v>3.7855240540319457</v>
      </c>
      <c r="I219" s="247">
        <f t="shared" si="167"/>
        <v>0</v>
      </c>
      <c r="J219" s="184">
        <f t="shared" si="167"/>
        <v>0</v>
      </c>
      <c r="K219" s="184">
        <f t="shared" si="167"/>
        <v>0</v>
      </c>
      <c r="L219" s="184">
        <f t="shared" si="167"/>
        <v>0</v>
      </c>
      <c r="M219" s="185">
        <f t="shared" si="167"/>
        <v>-0.10843782074869068</v>
      </c>
      <c r="N219" s="184">
        <f t="shared" si="167"/>
        <v>0.21404467584803299</v>
      </c>
      <c r="O219" s="184">
        <f t="shared" si="167"/>
        <v>1.032124711755543</v>
      </c>
      <c r="P219" s="184">
        <f t="shared" si="167"/>
        <v>1.2786011249801597</v>
      </c>
      <c r="Q219" s="184">
        <f t="shared" si="167"/>
        <v>1.3691913621969007</v>
      </c>
      <c r="R219" s="184">
        <f t="shared" si="167"/>
        <v>0</v>
      </c>
    </row>
    <row r="220" spans="1:18" x14ac:dyDescent="0.25">
      <c r="E220" s="7" t="str">
        <f>E$211</f>
        <v xml:space="preserve">Time value of money factor </v>
      </c>
      <c r="F220" s="184">
        <f t="shared" ref="F220:R220" si="168">F$211</f>
        <v>0</v>
      </c>
      <c r="G220" s="7" t="str">
        <f t="shared" si="168"/>
        <v>Factor</v>
      </c>
      <c r="H220" s="247">
        <f t="shared" si="168"/>
        <v>0</v>
      </c>
      <c r="I220" s="247">
        <f t="shared" si="168"/>
        <v>0</v>
      </c>
      <c r="J220" s="184">
        <f t="shared" si="168"/>
        <v>1</v>
      </c>
      <c r="K220" s="184">
        <f t="shared" si="168"/>
        <v>1</v>
      </c>
      <c r="L220" s="184">
        <f t="shared" si="168"/>
        <v>1</v>
      </c>
      <c r="M220" s="185">
        <f t="shared" si="168"/>
        <v>1.1307656717248122</v>
      </c>
      <c r="N220" s="184">
        <f t="shared" si="168"/>
        <v>1.0965525814753758</v>
      </c>
      <c r="O220" s="184">
        <f t="shared" si="168"/>
        <v>1.0633746619723512</v>
      </c>
      <c r="P220" s="184">
        <f t="shared" si="168"/>
        <v>1.0312005925000001</v>
      </c>
      <c r="Q220" s="184">
        <f t="shared" si="168"/>
        <v>1</v>
      </c>
      <c r="R220" s="184">
        <f t="shared" si="168"/>
        <v>1</v>
      </c>
    </row>
    <row r="221" spans="1:18" s="34" customFormat="1" x14ac:dyDescent="0.25">
      <c r="A221" s="265"/>
      <c r="B221" s="266"/>
      <c r="C221" s="267"/>
      <c r="D221" s="268"/>
      <c r="E221" s="34" t="s">
        <v>414</v>
      </c>
      <c r="G221" s="34" t="s">
        <v>235</v>
      </c>
      <c r="H221" s="271">
        <f xml:space="preserve"> SUM(J221:R221)</f>
        <v>3.8973143429569213</v>
      </c>
      <c r="J221" s="271">
        <f xml:space="preserve"> J219 * J220</f>
        <v>0</v>
      </c>
      <c r="K221" s="271">
        <f t="shared" ref="K221" si="169" xml:space="preserve"> K219 * K220</f>
        <v>0</v>
      </c>
      <c r="L221" s="271">
        <f t="shared" ref="L221" si="170" xml:space="preserve"> L219 * L220</f>
        <v>0</v>
      </c>
      <c r="M221" s="277">
        <f t="shared" ref="M221" si="171" xml:space="preserve"> M219 * M220</f>
        <v>-0.122617765219268</v>
      </c>
      <c r="N221" s="271">
        <f xml:space="preserve"> N219 * N220</f>
        <v>0.23471124185222061</v>
      </c>
      <c r="O221" s="271">
        <f t="shared" ref="O221" si="172" xml:space="preserve"> O219 * O220</f>
        <v>1.0975352664763609</v>
      </c>
      <c r="P221" s="271">
        <f t="shared" ref="P221" si="173" xml:space="preserve"> P219 * P220</f>
        <v>1.3184942376507072</v>
      </c>
      <c r="Q221" s="271">
        <f t="shared" ref="Q221" si="174" xml:space="preserve"> Q219 * Q220</f>
        <v>1.3691913621969007</v>
      </c>
      <c r="R221" s="271">
        <f t="shared" ref="R221" si="175" xml:space="preserve"> R219 * R220</f>
        <v>0</v>
      </c>
    </row>
    <row r="223" spans="1:18" ht="12.9" x14ac:dyDescent="0.25">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53" priority="10" stopIfTrue="1" operator="notEqual">
      <formula>0</formula>
    </cfRule>
    <cfRule type="cellIs" dxfId="52" priority="11" stopIfTrue="1" operator="equal">
      <formula>""</formula>
    </cfRule>
  </conditionalFormatting>
  <conditionalFormatting sqref="J3:Z3">
    <cfRule type="cellIs" dxfId="51" priority="14" operator="equal">
      <formula>"Post-Fcst"</formula>
    </cfRule>
    <cfRule type="cellIs" dxfId="50" priority="15" operator="equal">
      <formula>"Forecast"</formula>
    </cfRule>
    <cfRule type="cellIs" dxfId="49" priority="16" operator="equal">
      <formula>"Pre Fcst"</formula>
    </cfRule>
  </conditionalFormatting>
  <conditionalFormatting sqref="F2">
    <cfRule type="cellIs" dxfId="48" priority="8" stopIfTrue="1" operator="notEqual">
      <formula>0</formula>
    </cfRule>
    <cfRule type="cellIs" dxfId="47" priority="9" stopIfTrue="1" operator="equal">
      <formula>""</formula>
    </cfRule>
  </conditionalFormatting>
  <conditionalFormatting sqref="F165">
    <cfRule type="cellIs" dxfId="46" priority="2" stopIfTrue="1" operator="notEqual">
      <formula>0</formula>
    </cfRule>
    <cfRule type="cellIs" dxfId="45"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45" x14ac:dyDescent="0.25"/>
  <cols>
    <col min="1" max="1" width="1.81640625" style="50" customWidth="1"/>
    <col min="2" max="2" width="1.81640625" style="61" customWidth="1"/>
    <col min="3" max="3" width="1.81640625" style="110" customWidth="1"/>
    <col min="4" max="4" width="1.81640625" style="55" customWidth="1"/>
    <col min="5" max="5" width="73.453125" style="7" bestFit="1" customWidth="1"/>
    <col min="6" max="6" width="12.54296875" style="7" customWidth="1"/>
    <col min="7" max="7" width="10.81640625" style="7" bestFit="1" customWidth="1"/>
    <col min="8" max="8" width="11.54296875" style="7" customWidth="1"/>
    <col min="9" max="9" width="2.54296875" style="7" customWidth="1"/>
    <col min="10" max="18" width="11.54296875" style="7" customWidth="1"/>
    <col min="19" max="26" width="11.54296875" style="7" hidden="1" customWidth="1"/>
    <col min="27" max="16384" width="0" style="7" hidden="1"/>
  </cols>
  <sheetData>
    <row r="1" spans="1:26" s="122" customFormat="1" ht="25.25" x14ac:dyDescent="0.45">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131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132</v>
      </c>
      <c r="G6" s="5" t="s">
        <v>133</v>
      </c>
      <c r="H6" s="5" t="s">
        <v>134</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ht="12.9" x14ac:dyDescent="0.25">
      <c r="A8" s="285" t="s">
        <v>344</v>
      </c>
      <c r="B8" s="286"/>
      <c r="C8" s="287"/>
      <c r="D8" s="287"/>
      <c r="E8" s="287"/>
      <c r="F8" s="287"/>
      <c r="G8" s="287"/>
      <c r="H8" s="287"/>
      <c r="I8" s="287"/>
      <c r="J8" s="287"/>
      <c r="K8" s="287"/>
      <c r="L8" s="287"/>
      <c r="M8" s="287"/>
      <c r="N8" s="287"/>
      <c r="O8" s="287"/>
      <c r="P8" s="287"/>
      <c r="Q8" s="287"/>
      <c r="R8" s="287"/>
    </row>
    <row r="10" spans="1:26" x14ac:dyDescent="0.25">
      <c r="C10" s="110" t="s">
        <v>345</v>
      </c>
    </row>
    <row r="12" spans="1:26" x14ac:dyDescent="0.25">
      <c r="B12" s="61" t="s">
        <v>346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347</v>
      </c>
      <c r="G15" s="92" t="s">
        <v>247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348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349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2260.3511631556275</v>
      </c>
      <c r="N22" s="241">
        <f t="shared" si="3"/>
        <v>2198.0914322998615</v>
      </c>
      <c r="O22" s="241">
        <f t="shared" si="3"/>
        <v>2148.6689698659015</v>
      </c>
      <c r="P22" s="241">
        <f t="shared" si="3"/>
        <v>2104.2664435639617</v>
      </c>
      <c r="Q22" s="241">
        <f t="shared" si="3"/>
        <v>2061.7730637610134</v>
      </c>
      <c r="R22" s="241">
        <f t="shared" si="3"/>
        <v>2020.1377917003604</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350</v>
      </c>
      <c r="G24" s="91" t="s">
        <v>235</v>
      </c>
      <c r="J24" s="184">
        <f>J22*J23</f>
        <v>0</v>
      </c>
      <c r="K24" s="184">
        <f t="shared" ref="K24:R24" si="5">K22*K23</f>
        <v>0</v>
      </c>
      <c r="L24" s="184">
        <f t="shared" si="5"/>
        <v>0</v>
      </c>
      <c r="M24" s="184">
        <f>M22*M23</f>
        <v>54.831805368843277</v>
      </c>
      <c r="N24" s="184">
        <f t="shared" si="5"/>
        <v>65.036357077705219</v>
      </c>
      <c r="O24" s="184">
        <f t="shared" si="5"/>
        <v>67.690986680365583</v>
      </c>
      <c r="P24" s="184">
        <f t="shared" si="5"/>
        <v>67.336526194048233</v>
      </c>
      <c r="Q24" s="184">
        <f t="shared" si="5"/>
        <v>65.976738040352032</v>
      </c>
      <c r="R24" s="184">
        <f t="shared" si="5"/>
        <v>60.604133751010416</v>
      </c>
      <c r="S24" s="92"/>
      <c r="T24" s="92"/>
      <c r="U24" s="92"/>
      <c r="V24" s="92"/>
      <c r="W24" s="92"/>
      <c r="X24" s="92"/>
      <c r="Y24" s="92"/>
      <c r="Z24" s="92"/>
    </row>
    <row r="26" spans="1:16383" s="205" customFormat="1" x14ac:dyDescent="0.25">
      <c r="A26" s="201"/>
      <c r="B26" s="202"/>
      <c r="C26" s="203"/>
      <c r="D26" s="204"/>
      <c r="E26" s="37" t="str">
        <f xml:space="preserve"> InpR!E$96</f>
        <v>Run-off rate - CPI(H) + RPI wedge - active - WWN</v>
      </c>
      <c r="F26" s="205">
        <f xml:space="preserve"> InpR!F$96</f>
        <v>0</v>
      </c>
      <c r="G26" s="223" t="str">
        <f xml:space="preserve"> InpR!G$96</f>
        <v>%</v>
      </c>
      <c r="H26" s="205" t="str">
        <f xml:space="preserve"> InpR!I$96</f>
        <v>PR19 Financial model, 'F_OutputsMaster' sheet row 959, PR19FM2096POST</v>
      </c>
      <c r="I26" s="205" t="e">
        <f xml:space="preserve"> InpR!#REF!</f>
        <v>#REF!</v>
      </c>
      <c r="J26" s="205">
        <f xml:space="preserve"> InpR!J$96</f>
        <v>0</v>
      </c>
      <c r="K26" s="205">
        <f xml:space="preserve"> InpR!K$96</f>
        <v>0</v>
      </c>
      <c r="L26" s="205">
        <f xml:space="preserve"> InpR!L$96</f>
        <v>0</v>
      </c>
      <c r="M26" s="205">
        <f xml:space="preserve"> InpR!M$96</f>
        <v>5.0575500000000002E-2</v>
      </c>
      <c r="N26" s="205">
        <f xml:space="preserve"> InpR!N$96</f>
        <v>5.0575500000000002E-2</v>
      </c>
      <c r="O26" s="205">
        <f xml:space="preserve"> InpR!O$96</f>
        <v>5.0575500000000002E-2</v>
      </c>
      <c r="P26" s="205">
        <f xml:space="preserve"> InpR!P$96</f>
        <v>5.0575500000000002E-2</v>
      </c>
      <c r="Q26" s="205">
        <f xml:space="preserve"> InpR!Q$96</f>
        <v>5.0575500000000002E-2</v>
      </c>
      <c r="R26" s="205">
        <f xml:space="preserve"> InpR!R$96</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2260.3511631556275</v>
      </c>
      <c r="N27" s="241">
        <f t="shared" si="6"/>
        <v>2198.0914322998615</v>
      </c>
      <c r="O27" s="241">
        <f t="shared" si="6"/>
        <v>2148.6689698659015</v>
      </c>
      <c r="P27" s="241">
        <f t="shared" si="6"/>
        <v>2104.2664435639617</v>
      </c>
      <c r="Q27" s="241">
        <f t="shared" si="6"/>
        <v>2061.7730637610134</v>
      </c>
      <c r="R27" s="241">
        <f t="shared" si="6"/>
        <v>2020.1377917003604</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54.831805368843277</v>
      </c>
      <c r="N28" s="184">
        <f t="shared" si="7"/>
        <v>65.036357077705219</v>
      </c>
      <c r="O28" s="184">
        <f t="shared" si="7"/>
        <v>67.690986680365583</v>
      </c>
      <c r="P28" s="184">
        <f t="shared" si="7"/>
        <v>67.336526194048233</v>
      </c>
      <c r="Q28" s="184">
        <f t="shared" si="7"/>
        <v>65.976738040352032</v>
      </c>
      <c r="R28" s="184">
        <f t="shared" si="7"/>
        <v>60.604133751010416</v>
      </c>
    </row>
    <row r="29" spans="1:16383" x14ac:dyDescent="0.25">
      <c r="A29" s="170"/>
      <c r="B29" s="165"/>
      <c r="C29" s="166"/>
      <c r="D29" s="171"/>
      <c r="E29" s="91" t="s">
        <v>351</v>
      </c>
      <c r="F29" s="91"/>
      <c r="G29" s="91" t="s">
        <v>235</v>
      </c>
      <c r="H29" s="184"/>
      <c r="I29" s="184"/>
      <c r="J29" s="184">
        <f t="shared" ref="J29:R29" si="8" xml:space="preserve"> (J27+J28) * J26</f>
        <v>0</v>
      </c>
      <c r="K29" s="184">
        <f t="shared" si="8"/>
        <v>0</v>
      </c>
      <c r="L29" s="184">
        <f xml:space="preserve"> (L27+L28) * L26</f>
        <v>0</v>
      </c>
      <c r="M29" s="184">
        <f t="shared" si="8"/>
        <v>117.09153622460937</v>
      </c>
      <c r="N29" s="184">
        <f t="shared" si="8"/>
        <v>114.45881951166514</v>
      </c>
      <c r="O29" s="184">
        <f t="shared" si="8"/>
        <v>112.09351298230575</v>
      </c>
      <c r="P29" s="184">
        <f t="shared" si="8"/>
        <v>109.82990599699623</v>
      </c>
      <c r="Q29" s="184">
        <f t="shared" si="8"/>
        <v>107.61201010100496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InpR!$E$89</f>
        <v>RCV - CPI(H) + RPI wedge initial balance - nominal - WWN</v>
      </c>
      <c r="F31" s="250">
        <f>InpR!$F$89</f>
        <v>2260.3511631556275</v>
      </c>
      <c r="G31" s="250" t="str">
        <f>InpR!$G$89</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352</v>
      </c>
      <c r="G34" s="92" t="s">
        <v>235</v>
      </c>
      <c r="J34" s="242">
        <f t="shared" ref="J34:R34" si="9" xml:space="preserve"> I37</f>
        <v>0</v>
      </c>
      <c r="K34" s="242">
        <f t="shared" si="9"/>
        <v>0</v>
      </c>
      <c r="L34" s="242">
        <f t="shared" si="9"/>
        <v>0</v>
      </c>
      <c r="M34" s="242">
        <f t="shared" si="9"/>
        <v>2260.3511631556275</v>
      </c>
      <c r="N34" s="242">
        <f t="shared" si="9"/>
        <v>2198.0914322998615</v>
      </c>
      <c r="O34" s="242">
        <f t="shared" si="9"/>
        <v>2148.6689698659015</v>
      </c>
      <c r="P34" s="242">
        <f t="shared" si="9"/>
        <v>2104.2664435639617</v>
      </c>
      <c r="Q34" s="242">
        <f t="shared" si="9"/>
        <v>2061.7730637610134</v>
      </c>
      <c r="R34" s="242">
        <f t="shared" si="9"/>
        <v>2020.1377917003604</v>
      </c>
    </row>
    <row r="35" spans="1:26" x14ac:dyDescent="0.25">
      <c r="A35" s="47"/>
      <c r="B35" s="51"/>
      <c r="C35" s="111"/>
      <c r="D35" s="56" t="s">
        <v>353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54.831805368843277</v>
      </c>
      <c r="N35" s="242">
        <f t="shared" si="10"/>
        <v>65.036357077705219</v>
      </c>
      <c r="O35" s="242">
        <f t="shared" si="10"/>
        <v>67.690986680365583</v>
      </c>
      <c r="P35" s="242">
        <f t="shared" si="10"/>
        <v>67.336526194048233</v>
      </c>
      <c r="Q35" s="242">
        <f t="shared" si="10"/>
        <v>65.976738040352032</v>
      </c>
      <c r="R35" s="242">
        <f t="shared" si="10"/>
        <v>60.604133751010416</v>
      </c>
    </row>
    <row r="36" spans="1:26" x14ac:dyDescent="0.25">
      <c r="A36" s="47"/>
      <c r="B36" s="51"/>
      <c r="C36" s="111"/>
      <c r="D36" s="56" t="s">
        <v>354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117.09153622460937</v>
      </c>
      <c r="N36" s="242">
        <f t="shared" si="11"/>
        <v>114.45881951166514</v>
      </c>
      <c r="O36" s="242">
        <f t="shared" si="11"/>
        <v>112.09351298230575</v>
      </c>
      <c r="P36" s="242">
        <f t="shared" si="11"/>
        <v>109.82990599699623</v>
      </c>
      <c r="Q36" s="242">
        <f t="shared" si="11"/>
        <v>107.61201010100496</v>
      </c>
      <c r="R36" s="242">
        <f t="shared" si="11"/>
        <v>0</v>
      </c>
    </row>
    <row r="37" spans="1:26" s="138" customFormat="1" x14ac:dyDescent="0.25">
      <c r="A37" s="134"/>
      <c r="B37" s="135"/>
      <c r="C37" s="136"/>
      <c r="D37" s="137"/>
      <c r="E37" s="138" t="s">
        <v>355</v>
      </c>
      <c r="G37" s="163" t="s">
        <v>235</v>
      </c>
      <c r="J37" s="243">
        <f t="shared" ref="J37:R37" si="12" xml:space="preserve"> IF( J32 = 1, $F31, J34 + J35 - J36)</f>
        <v>0</v>
      </c>
      <c r="K37" s="243">
        <f t="shared" si="12"/>
        <v>0</v>
      </c>
      <c r="L37" s="243">
        <f t="shared" si="12"/>
        <v>2260.3511631556275</v>
      </c>
      <c r="M37" s="243">
        <f t="shared" si="12"/>
        <v>2198.0914322998615</v>
      </c>
      <c r="N37" s="243">
        <f t="shared" si="12"/>
        <v>2148.6689698659015</v>
      </c>
      <c r="O37" s="243">
        <f t="shared" si="12"/>
        <v>2104.2664435639617</v>
      </c>
      <c r="P37" s="243">
        <f t="shared" si="12"/>
        <v>2061.7730637610134</v>
      </c>
      <c r="Q37" s="243">
        <f t="shared" si="12"/>
        <v>2020.1377917003604</v>
      </c>
      <c r="R37" s="243">
        <f t="shared" si="12"/>
        <v>2080.7419254513707</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2260.3511631556275</v>
      </c>
      <c r="N39" s="185">
        <f t="shared" si="13"/>
        <v>2198.0914322998615</v>
      </c>
      <c r="O39" s="185">
        <f t="shared" si="13"/>
        <v>2148.6689698659015</v>
      </c>
      <c r="P39" s="185">
        <f t="shared" si="13"/>
        <v>2104.2664435639617</v>
      </c>
      <c r="Q39" s="185">
        <f t="shared" si="13"/>
        <v>2061.7730637610134</v>
      </c>
      <c r="R39" s="185">
        <f t="shared" si="13"/>
        <v>2020.1377917003604</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54.831805368843277</v>
      </c>
      <c r="N40" s="242">
        <f t="shared" si="14"/>
        <v>65.036357077705219</v>
      </c>
      <c r="O40" s="242">
        <f t="shared" si="14"/>
        <v>67.690986680365583</v>
      </c>
      <c r="P40" s="242">
        <f t="shared" si="14"/>
        <v>67.336526194048233</v>
      </c>
      <c r="Q40" s="242">
        <f t="shared" si="14"/>
        <v>65.976738040352032</v>
      </c>
      <c r="R40" s="242">
        <f t="shared" si="14"/>
        <v>60.604133751010416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2260.3511631556275</v>
      </c>
      <c r="M41" s="185">
        <f t="shared" si="15"/>
        <v>2198.0914322998615</v>
      </c>
      <c r="N41" s="185">
        <f t="shared" si="15"/>
        <v>2148.6689698659015</v>
      </c>
      <c r="O41" s="185">
        <f t="shared" si="15"/>
        <v>2104.2664435639617</v>
      </c>
      <c r="P41" s="185">
        <f t="shared" si="15"/>
        <v>2061.7730637610134</v>
      </c>
      <c r="Q41" s="185">
        <f t="shared" si="15"/>
        <v>2020.1377917003604</v>
      </c>
      <c r="R41" s="185">
        <f t="shared" si="15"/>
        <v>2080.7419254513707</v>
      </c>
    </row>
    <row r="42" spans="1:26" s="92" customFormat="1" x14ac:dyDescent="0.25">
      <c r="A42" s="164"/>
      <c r="B42" s="165"/>
      <c r="C42" s="166"/>
      <c r="D42" s="167"/>
      <c r="E42" s="92" t="s">
        <v>356</v>
      </c>
      <c r="G42" s="92" t="s">
        <v>235</v>
      </c>
      <c r="J42" s="185">
        <f t="shared" ref="J42:L42" si="16" xml:space="preserve"> ( (J39+J40) + J41) / 2</f>
        <v>0</v>
      </c>
      <c r="K42" s="185">
        <f t="shared" si="16"/>
        <v>0</v>
      </c>
      <c r="L42" s="185">
        <f t="shared" si="16"/>
        <v>1130.1755815778138</v>
      </c>
      <c r="M42" s="185">
        <f xml:space="preserve"> ( (M39+M40) + M41) / 2</f>
        <v>2256.6372004121658</v>
      </c>
      <c r="N42" s="185">
        <f t="shared" ref="N42:R42" si="17" xml:space="preserve"> ( (N39+N40) + N41) / 2</f>
        <v>2205.8983796217344</v>
      </c>
      <c r="O42" s="185">
        <f t="shared" si="17"/>
        <v>2160.3132000551145</v>
      </c>
      <c r="P42" s="185">
        <f t="shared" si="17"/>
        <v>2116.6880167595118</v>
      </c>
      <c r="Q42" s="185">
        <f t="shared" si="17"/>
        <v>2073.9437967508629</v>
      </c>
      <c r="R42" s="185">
        <f t="shared" si="17"/>
        <v>2080.7419254513707</v>
      </c>
    </row>
    <row r="43" spans="1:26" s="92" customFormat="1" x14ac:dyDescent="0.25">
      <c r="A43" s="164"/>
      <c r="B43" s="165"/>
      <c r="C43" s="166"/>
      <c r="D43" s="167"/>
    </row>
    <row r="44" spans="1:26" x14ac:dyDescent="0.25">
      <c r="B44" s="61" t="s">
        <v>357</v>
      </c>
    </row>
    <row r="45" spans="1:26" s="205" customFormat="1" x14ac:dyDescent="0.25">
      <c r="A45" s="201"/>
      <c r="B45" s="202"/>
      <c r="C45" s="203"/>
      <c r="D45" s="204"/>
      <c r="E45" s="205" t="str">
        <f xml:space="preserve"> InpR!E$103</f>
        <v>WACC on RCV - CPI(H) + RPI wedge bf and additions - WWN</v>
      </c>
      <c r="F45" s="205">
        <f xml:space="preserve"> InpR!F$103</f>
        <v>0</v>
      </c>
      <c r="G45" s="223" t="str">
        <f xml:space="preserve"> InpR!G$103</f>
        <v>%</v>
      </c>
      <c r="H45" s="205" t="str">
        <f xml:space="preserve"> InpR!I$103</f>
        <v>PR19 Financial model, 'Wastewater Network' sheet row 980</v>
      </c>
      <c r="I45" s="205" t="e">
        <f xml:space="preserve"> InpR!#REF!</f>
        <v>#REF!</v>
      </c>
      <c r="J45" s="205">
        <f xml:space="preserve"> InpR!J$103</f>
        <v>0</v>
      </c>
      <c r="K45" s="205">
        <f xml:space="preserve"> InpR!K$103</f>
        <v>0</v>
      </c>
      <c r="L45" s="205">
        <f xml:space="preserve"> InpR!L$103</f>
        <v>0</v>
      </c>
      <c r="M45" s="205">
        <f xml:space="preserve"> InpR!M$103</f>
        <v>2.2181345335277269E-2</v>
      </c>
      <c r="N45" s="205">
        <f xml:space="preserve"> InpR!N$103</f>
        <v>2.2181345335277269E-2</v>
      </c>
      <c r="O45" s="205">
        <f xml:space="preserve"> InpR!O$103</f>
        <v>2.2181345335277269E-2</v>
      </c>
      <c r="P45" s="205">
        <f xml:space="preserve"> InpR!P$103</f>
        <v>2.2181345335277269E-2</v>
      </c>
      <c r="Q45" s="205">
        <f xml:space="preserve"> InpR!Q$103</f>
        <v>2.2181345335277269E-2</v>
      </c>
      <c r="R45" s="205">
        <f xml:space="preserve"> InpR!R$103</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1130.1755815778138</v>
      </c>
      <c r="M47" s="184">
        <f t="shared" si="18"/>
        <v>2256.6372004121658</v>
      </c>
      <c r="N47" s="184">
        <f t="shared" si="18"/>
        <v>2205.8983796217344</v>
      </c>
      <c r="O47" s="184">
        <f t="shared" si="18"/>
        <v>2160.3132000551145</v>
      </c>
      <c r="P47" s="184">
        <f t="shared" si="18"/>
        <v>2116.6880167595118</v>
      </c>
      <c r="Q47" s="184">
        <f t="shared" si="18"/>
        <v>2073.9437967508629</v>
      </c>
      <c r="R47" s="184">
        <f t="shared" si="18"/>
        <v>2080.7419254513707</v>
      </c>
      <c r="S47" s="92"/>
      <c r="T47" s="92"/>
      <c r="U47" s="92"/>
      <c r="V47" s="92"/>
      <c r="W47" s="92"/>
      <c r="X47" s="92"/>
      <c r="Y47" s="92"/>
      <c r="Z47" s="92"/>
    </row>
    <row r="48" spans="1:26" s="91" customFormat="1" x14ac:dyDescent="0.25">
      <c r="A48" s="170"/>
      <c r="B48" s="165"/>
      <c r="C48" s="166"/>
      <c r="D48" s="171"/>
      <c r="E48" s="172" t="s">
        <v>358</v>
      </c>
      <c r="G48" s="91" t="s">
        <v>235</v>
      </c>
      <c r="H48" s="184"/>
      <c r="I48" s="184"/>
      <c r="J48" s="184">
        <f t="shared" ref="J48:K48" si="19">J45*J47*J46</f>
        <v>0</v>
      </c>
      <c r="K48" s="184">
        <f t="shared" si="19"/>
        <v>0</v>
      </c>
      <c r="L48" s="184">
        <f>L45*L47*L46</f>
        <v>0</v>
      </c>
      <c r="M48" s="184">
        <f>M45*M47*M46</f>
        <v>50.05524903877555</v>
      </c>
      <c r="N48" s="184">
        <f t="shared" ref="N48:R48" si="20">N45*N47*N46</f>
        <v>48.929793732918249</v>
      </c>
      <c r="O48" s="184">
        <f t="shared" si="20"/>
        <v>47.918653122780427</v>
      </c>
      <c r="P48" s="184">
        <f t="shared" si="20"/>
        <v>46.950987866785894</v>
      </c>
      <c r="Q48" s="184">
        <f t="shared" si="20"/>
        <v>46.002863561686979</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359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117.09153622460937</v>
      </c>
      <c r="N51" s="184">
        <f t="shared" si="21"/>
        <v>114.45881951166514</v>
      </c>
      <c r="O51" s="184">
        <f t="shared" si="21"/>
        <v>112.09351298230575</v>
      </c>
      <c r="P51" s="184">
        <f t="shared" si="21"/>
        <v>109.82990599699623</v>
      </c>
      <c r="Q51" s="184">
        <f t="shared" si="21"/>
        <v>107.61201010100496</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50.05524903877555</v>
      </c>
      <c r="N52" s="184">
        <f t="shared" si="22"/>
        <v>48.929793732918249</v>
      </c>
      <c r="O52" s="184">
        <f t="shared" si="22"/>
        <v>47.918653122780427</v>
      </c>
      <c r="P52" s="184">
        <f t="shared" si="22"/>
        <v>46.950987866785894</v>
      </c>
      <c r="Q52" s="184">
        <f t="shared" si="22"/>
        <v>46.002863561686979</v>
      </c>
      <c r="R52" s="184">
        <f t="shared" si="22"/>
        <v>0</v>
      </c>
      <c r="S52" s="92"/>
      <c r="T52" s="92"/>
      <c r="U52" s="92"/>
      <c r="V52" s="92"/>
      <c r="W52" s="92"/>
      <c r="X52" s="92"/>
      <c r="Y52" s="92"/>
      <c r="Z52" s="92"/>
    </row>
    <row r="53" spans="1:26" s="91" customFormat="1" x14ac:dyDescent="0.25">
      <c r="A53" s="170"/>
      <c r="B53" s="165"/>
      <c r="C53" s="166"/>
      <c r="D53" s="171"/>
      <c r="E53" s="172" t="s">
        <v>360</v>
      </c>
      <c r="G53" s="91" t="str">
        <f xml:space="preserve"> G$48</f>
        <v>£m</v>
      </c>
      <c r="H53" s="184">
        <f>SUM(J53:R53)</f>
        <v>800.94333213952859</v>
      </c>
      <c r="I53" s="184"/>
      <c r="J53" s="184">
        <f t="shared" ref="J53:R53" si="23">SUM(J51:J52)</f>
        <v>0</v>
      </c>
      <c r="K53" s="184">
        <f t="shared" si="23"/>
        <v>0</v>
      </c>
      <c r="L53" s="184">
        <f>SUM(L51:L52)</f>
        <v>0</v>
      </c>
      <c r="M53" s="185">
        <f t="shared" si="23"/>
        <v>167.14678526338491</v>
      </c>
      <c r="N53" s="185">
        <f t="shared" si="23"/>
        <v>163.38861324458338</v>
      </c>
      <c r="O53" s="184">
        <f t="shared" si="23"/>
        <v>160.01216610508618</v>
      </c>
      <c r="P53" s="184">
        <f t="shared" si="23"/>
        <v>156.78089386378213</v>
      </c>
      <c r="Q53" s="184">
        <f t="shared" si="23"/>
        <v>153.61487366269193</v>
      </c>
      <c r="R53" s="184">
        <f t="shared" si="23"/>
        <v>0</v>
      </c>
      <c r="S53" s="92"/>
      <c r="T53" s="92"/>
      <c r="U53" s="92"/>
      <c r="V53" s="92"/>
      <c r="W53" s="92"/>
      <c r="X53" s="92"/>
      <c r="Y53" s="92"/>
      <c r="Z53" s="92"/>
    </row>
    <row r="55" spans="1:26" ht="12.9" x14ac:dyDescent="0.25">
      <c r="A55" s="285" t="s">
        <v>361</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362</v>
      </c>
      <c r="M57" s="177"/>
      <c r="N57" s="177"/>
      <c r="O57" s="177"/>
      <c r="P57" s="177"/>
      <c r="Q57" s="177"/>
    </row>
    <row r="58" spans="1:26" x14ac:dyDescent="0.25">
      <c r="C58" s="110" t="s">
        <v>363</v>
      </c>
      <c r="M58" s="177"/>
      <c r="N58" s="177"/>
      <c r="O58" s="177"/>
      <c r="P58" s="177"/>
      <c r="Q58" s="177"/>
    </row>
    <row r="59" spans="1:26" x14ac:dyDescent="0.25">
      <c r="C59" s="110" t="s">
        <v>364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365</v>
      </c>
      <c r="G61" s="91" t="s">
        <v>235</v>
      </c>
      <c r="J61" s="184">
        <f t="shared" ref="J61:R61" si="24" xml:space="preserve"> J53</f>
        <v>0</v>
      </c>
      <c r="K61" s="184">
        <f t="shared" si="24"/>
        <v>0</v>
      </c>
      <c r="L61" s="184">
        <f t="shared" si="24"/>
        <v>0</v>
      </c>
      <c r="M61" s="184">
        <f t="shared" si="24"/>
        <v>167.14678526338491</v>
      </c>
      <c r="N61" s="184">
        <f t="shared" si="24"/>
        <v>163.38861324458338</v>
      </c>
      <c r="O61" s="184">
        <f t="shared" si="24"/>
        <v>160.01216610508618</v>
      </c>
      <c r="P61" s="184">
        <f t="shared" si="24"/>
        <v>156.78089386378213</v>
      </c>
      <c r="Q61" s="184">
        <f t="shared" si="24"/>
        <v>153.61487366269193</v>
      </c>
      <c r="R61" s="184">
        <f t="shared" si="24"/>
        <v>0</v>
      </c>
      <c r="S61" s="92"/>
      <c r="T61" s="92"/>
      <c r="U61" s="92"/>
      <c r="V61" s="92"/>
      <c r="W61" s="92"/>
      <c r="X61" s="92"/>
      <c r="Y61" s="92"/>
      <c r="Z61" s="92"/>
    </row>
    <row r="62" spans="1:26" x14ac:dyDescent="0.25">
      <c r="L62" s="247"/>
      <c r="M62" s="282"/>
      <c r="N62" s="282"/>
      <c r="O62" s="282"/>
      <c r="P62" s="282"/>
      <c r="Q62" s="282"/>
      <c r="R62" s="247"/>
    </row>
    <row r="63" spans="1:26" ht="12.9" x14ac:dyDescent="0.25">
      <c r="A63" s="285" t="s">
        <v>366</v>
      </c>
      <c r="B63" s="286"/>
      <c r="C63" s="287"/>
      <c r="D63" s="287"/>
      <c r="E63" s="287"/>
      <c r="F63" s="287"/>
      <c r="G63" s="287"/>
      <c r="H63" s="287"/>
      <c r="I63" s="287"/>
      <c r="J63" s="287"/>
      <c r="K63" s="287"/>
      <c r="L63" s="287"/>
      <c r="M63" s="287"/>
      <c r="N63" s="287"/>
      <c r="O63" s="287"/>
      <c r="P63" s="287"/>
      <c r="Q63" s="287"/>
      <c r="R63" s="287"/>
    </row>
    <row r="65" spans="1:16383" x14ac:dyDescent="0.25">
      <c r="C65" s="110" t="s">
        <v>367</v>
      </c>
    </row>
    <row r="67" spans="1:16383" x14ac:dyDescent="0.25">
      <c r="B67" s="61" t="s">
        <v>368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2.1140370430179578E-2</v>
      </c>
      <c r="Q69" s="205">
        <f>Index!Q$135</f>
        <v>1.5767846700546873E-2</v>
      </c>
      <c r="R69" s="205">
        <f>Index!R$135</f>
        <v>0</v>
      </c>
    </row>
    <row r="70" spans="1:16383" s="172" customFormat="1" x14ac:dyDescent="0.25">
      <c r="A70" s="173"/>
      <c r="B70" s="174"/>
      <c r="C70" s="175"/>
      <c r="D70" s="176"/>
      <c r="E70" s="172" t="s">
        <v>369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4.2140370430180152E-2</v>
      </c>
      <c r="Q70" s="172">
        <f t="shared" si="26"/>
        <v>3.6767846700548112E-2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370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2260.3511631556275</v>
      </c>
      <c r="N73" s="241">
        <f t="shared" si="27"/>
        <v>2190.0465729891357</v>
      </c>
      <c r="O73" s="241">
        <f t="shared" si="27"/>
        <v>2164.6734801610432</v>
      </c>
      <c r="P73" s="241">
        <f t="shared" si="27"/>
        <v>2182.1009720956822</v>
      </c>
      <c r="Q73" s="241">
        <f t="shared" si="27"/>
        <v>2159.0440206579592</v>
      </c>
      <c r="R73" s="241">
        <f t="shared" si="27"/>
        <v>2125.2178342374423</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4.2140370430180152E-2</v>
      </c>
      <c r="Q74" s="172">
        <f t="shared" si="28"/>
        <v>3.6767846700548112E-2</v>
      </c>
      <c r="R74" s="172">
        <f t="shared" si="28"/>
        <v>1.999999999999913E-2</v>
      </c>
      <c r="S74" s="177"/>
      <c r="T74" s="177"/>
      <c r="U74" s="177"/>
      <c r="V74" s="177"/>
      <c r="W74" s="177"/>
      <c r="X74" s="177"/>
      <c r="Y74" s="177"/>
      <c r="Z74" s="177"/>
    </row>
    <row r="75" spans="1:16383" x14ac:dyDescent="0.25">
      <c r="E75" s="7" t="s">
        <v>371</v>
      </c>
      <c r="G75" s="162" t="s">
        <v>235</v>
      </c>
      <c r="J75" s="184">
        <f t="shared" ref="J75:L75" si="29">J73*J74</f>
        <v>0</v>
      </c>
      <c r="K75" s="184">
        <f t="shared" si="29"/>
        <v>0</v>
      </c>
      <c r="L75" s="184">
        <f t="shared" si="29"/>
        <v>0</v>
      </c>
      <c r="M75" s="184">
        <f>M73*M74</f>
        <v>46.358399309987952</v>
      </c>
      <c r="N75" s="184">
        <f t="shared" ref="N75:R75" si="30">N73*N74</f>
        <v>89.938281163083118</v>
      </c>
      <c r="O75" s="184">
        <f t="shared" si="30"/>
        <v>133.66722212300621</v>
      </c>
      <c r="P75" s="184">
        <f t="shared" si="30"/>
        <v>91.954543280168252</v>
      </c>
      <c r="Q75" s="184">
        <f t="shared" si="30"/>
        <v>79.383399571286873</v>
      </c>
      <c r="R75" s="184">
        <f t="shared" si="30"/>
        <v>42.504356684746995</v>
      </c>
    </row>
    <row r="77" spans="1:16383" s="205" customFormat="1" x14ac:dyDescent="0.25">
      <c r="A77" s="201"/>
      <c r="B77" s="202"/>
      <c r="C77" s="203"/>
      <c r="D77" s="204"/>
      <c r="E77" s="37" t="str">
        <f xml:space="preserve"> InpR!E$96</f>
        <v>Run-off rate - CPI(H) + RPI wedge - active - WWN</v>
      </c>
      <c r="F77" s="205">
        <f xml:space="preserve"> InpR!F$96</f>
        <v>0</v>
      </c>
      <c r="G77" s="223" t="str">
        <f xml:space="preserve"> InpR!G$96</f>
        <v>%</v>
      </c>
      <c r="H77" s="205" t="str">
        <f xml:space="preserve"> InpR!I$96</f>
        <v>PR19 Financial model, 'F_OutputsMaster' sheet row 959, PR19FM2096POST</v>
      </c>
      <c r="I77" s="205" t="e">
        <f xml:space="preserve"> InpR!#REF!</f>
        <v>#REF!</v>
      </c>
      <c r="J77" s="205">
        <f xml:space="preserve"> InpR!J$96</f>
        <v>0</v>
      </c>
      <c r="K77" s="205">
        <f xml:space="preserve"> InpR!K$96</f>
        <v>0</v>
      </c>
      <c r="L77" s="205">
        <f xml:space="preserve"> InpR!L$96</f>
        <v>0</v>
      </c>
      <c r="M77" s="205">
        <f xml:space="preserve"> InpR!M$96</f>
        <v>5.0575500000000002E-2</v>
      </c>
      <c r="N77" s="205">
        <f xml:space="preserve"> InpR!N$96</f>
        <v>5.0575500000000002E-2</v>
      </c>
      <c r="O77" s="205">
        <f xml:space="preserve"> InpR!O$96</f>
        <v>5.0575500000000002E-2</v>
      </c>
      <c r="P77" s="205">
        <f xml:space="preserve"> InpR!P$96</f>
        <v>5.0575500000000002E-2</v>
      </c>
      <c r="Q77" s="205">
        <f xml:space="preserve"> InpR!Q$96</f>
        <v>5.0575500000000002E-2</v>
      </c>
      <c r="R77" s="205">
        <f xml:space="preserve"> InpR!R$96</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2260.3511631556275</v>
      </c>
      <c r="N78" s="241">
        <f t="shared" si="31"/>
        <v>2190.0465729891357</v>
      </c>
      <c r="O78" s="241">
        <f t="shared" si="31"/>
        <v>2164.6734801610432</v>
      </c>
      <c r="P78" s="241">
        <f t="shared" si="31"/>
        <v>2182.1009720956822</v>
      </c>
      <c r="Q78" s="241">
        <f t="shared" si="31"/>
        <v>2159.0440206579592</v>
      </c>
      <c r="R78" s="241">
        <f t="shared" si="31"/>
        <v>2125.2178342374423</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46.358399309987952</v>
      </c>
      <c r="N79" s="184">
        <f t="shared" si="32"/>
        <v>89.938281163083118</v>
      </c>
      <c r="O79" s="184">
        <f t="shared" si="32"/>
        <v>133.66722212300621</v>
      </c>
      <c r="P79" s="184">
        <f t="shared" si="32"/>
        <v>91.954543280168252</v>
      </c>
      <c r="Q79" s="184">
        <f t="shared" si="32"/>
        <v>79.383399571286873</v>
      </c>
      <c r="R79" s="184">
        <f t="shared" si="32"/>
        <v>42.504356684746995</v>
      </c>
    </row>
    <row r="80" spans="1:16383" x14ac:dyDescent="0.25">
      <c r="E80" s="7" t="s">
        <v>372</v>
      </c>
      <c r="F80" s="244"/>
      <c r="G80" s="244" t="s">
        <v>235</v>
      </c>
      <c r="H80" s="244"/>
      <c r="I80" s="244"/>
      <c r="J80" s="184">
        <f t="shared" ref="J80:R80" si="33" xml:space="preserve"> (J78+J79) * J77</f>
        <v>0</v>
      </c>
      <c r="K80" s="184">
        <f t="shared" si="33"/>
        <v>0</v>
      </c>
      <c r="L80" s="184">
        <f t="shared" si="33"/>
        <v>0</v>
      </c>
      <c r="M80" s="184">
        <f t="shared" si="33"/>
        <v>116.66298947647974</v>
      </c>
      <c r="N80" s="184">
        <f xml:space="preserve"> (N78+N79) * N77</f>
        <v>115.31137399117554</v>
      </c>
      <c r="O80" s="184">
        <f t="shared" si="33"/>
        <v>116.23973018836693</v>
      </c>
      <c r="P80" s="184">
        <f t="shared" si="33"/>
        <v>115.01149471789134</v>
      </c>
      <c r="Q80" s="184">
        <f t="shared" si="33"/>
        <v>113.20958599180425</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InpR!$E$89</f>
        <v>RCV - CPI(H) + RPI wedge initial balance - nominal - WWN</v>
      </c>
      <c r="F82" s="250">
        <f>InpR!$F$89</f>
        <v>2260.3511631556275</v>
      </c>
      <c r="G82" s="250" t="str">
        <f>InpR!$G$89</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373</v>
      </c>
      <c r="G85" s="162" t="s">
        <v>235</v>
      </c>
      <c r="J85" s="242">
        <f t="shared" ref="J85:R85" si="34" xml:space="preserve"> I88</f>
        <v>0</v>
      </c>
      <c r="K85" s="242">
        <f t="shared" si="34"/>
        <v>0</v>
      </c>
      <c r="L85" s="242">
        <f t="shared" si="34"/>
        <v>0</v>
      </c>
      <c r="M85" s="242">
        <f t="shared" si="34"/>
        <v>2260.3511631556275</v>
      </c>
      <c r="N85" s="242">
        <f t="shared" si="34"/>
        <v>2190.0465729891357</v>
      </c>
      <c r="O85" s="242">
        <f t="shared" si="34"/>
        <v>2164.6734801610432</v>
      </c>
      <c r="P85" s="242">
        <f t="shared" si="34"/>
        <v>2182.1009720956822</v>
      </c>
      <c r="Q85" s="242">
        <f t="shared" si="34"/>
        <v>2159.0440206579592</v>
      </c>
      <c r="R85" s="242">
        <f t="shared" si="34"/>
        <v>2125.2178342374423</v>
      </c>
    </row>
    <row r="86" spans="1:18" x14ac:dyDescent="0.25">
      <c r="A86" s="47"/>
      <c r="B86" s="51"/>
      <c r="C86" s="111"/>
      <c r="D86" s="56" t="s">
        <v>353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46.358399309987952</v>
      </c>
      <c r="N86" s="242">
        <f t="shared" si="35"/>
        <v>89.938281163083118</v>
      </c>
      <c r="O86" s="242">
        <f t="shared" si="35"/>
        <v>133.66722212300621</v>
      </c>
      <c r="P86" s="242">
        <f t="shared" si="35"/>
        <v>91.954543280168252</v>
      </c>
      <c r="Q86" s="242">
        <f t="shared" si="35"/>
        <v>79.383399571286873</v>
      </c>
      <c r="R86" s="242">
        <f t="shared" si="35"/>
        <v>42.504356684746995</v>
      </c>
    </row>
    <row r="87" spans="1:18" x14ac:dyDescent="0.25">
      <c r="A87" s="47"/>
      <c r="B87" s="51"/>
      <c r="C87" s="111"/>
      <c r="D87" s="56" t="s">
        <v>354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116.66298947647974</v>
      </c>
      <c r="N87" s="242">
        <f t="shared" si="36"/>
        <v>115.31137399117554</v>
      </c>
      <c r="O87" s="242">
        <f t="shared" si="36"/>
        <v>116.23973018836693</v>
      </c>
      <c r="P87" s="242">
        <f t="shared" si="36"/>
        <v>115.01149471789134</v>
      </c>
      <c r="Q87" s="242">
        <f t="shared" si="36"/>
        <v>113.20958599180425</v>
      </c>
      <c r="R87" s="242">
        <f t="shared" si="36"/>
        <v>0</v>
      </c>
    </row>
    <row r="88" spans="1:18" s="138" customFormat="1" x14ac:dyDescent="0.25">
      <c r="A88" s="134"/>
      <c r="B88" s="135"/>
      <c r="C88" s="136"/>
      <c r="D88" s="137"/>
      <c r="E88" s="138" t="s">
        <v>374</v>
      </c>
      <c r="G88" s="163" t="s">
        <v>235</v>
      </c>
      <c r="J88" s="243">
        <f t="shared" ref="J88:R88" si="37" xml:space="preserve"> IF( J83 = 1, $F82, J85 + J86 - J87)</f>
        <v>0</v>
      </c>
      <c r="K88" s="243">
        <f t="shared" si="37"/>
        <v>0</v>
      </c>
      <c r="L88" s="243">
        <f t="shared" si="37"/>
        <v>2260.3511631556275</v>
      </c>
      <c r="M88" s="243">
        <f t="shared" si="37"/>
        <v>2190.0465729891357</v>
      </c>
      <c r="N88" s="243">
        <f t="shared" si="37"/>
        <v>2164.6734801610432</v>
      </c>
      <c r="O88" s="243">
        <f t="shared" si="37"/>
        <v>2182.1009720956822</v>
      </c>
      <c r="P88" s="243">
        <f t="shared" si="37"/>
        <v>2159.0440206579592</v>
      </c>
      <c r="Q88" s="243">
        <f t="shared" si="37"/>
        <v>2125.2178342374423</v>
      </c>
      <c r="R88" s="243">
        <f t="shared" si="37"/>
        <v>2167.7221909221894</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2260.3511631556275</v>
      </c>
      <c r="N90" s="185">
        <f t="shared" si="38"/>
        <v>2190.0465729891357</v>
      </c>
      <c r="O90" s="185">
        <f t="shared" si="38"/>
        <v>2164.6734801610432</v>
      </c>
      <c r="P90" s="185">
        <f t="shared" si="38"/>
        <v>2182.1009720956822</v>
      </c>
      <c r="Q90" s="185">
        <f t="shared" si="38"/>
        <v>2159.0440206579592</v>
      </c>
      <c r="R90" s="185">
        <f t="shared" si="38"/>
        <v>2125.2178342374423</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46.358399309987952</v>
      </c>
      <c r="N91" s="242">
        <f t="shared" si="39"/>
        <v>89.938281163083118</v>
      </c>
      <c r="O91" s="242">
        <f t="shared" si="39"/>
        <v>133.66722212300621</v>
      </c>
      <c r="P91" s="242">
        <f t="shared" si="39"/>
        <v>91.954543280168252</v>
      </c>
      <c r="Q91" s="242">
        <f t="shared" si="39"/>
        <v>79.383399571286873</v>
      </c>
      <c r="R91" s="242">
        <f t="shared" si="39"/>
        <v>42.504356684746995</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2260.3511631556275</v>
      </c>
      <c r="M92" s="185">
        <f t="shared" si="40"/>
        <v>2190.0465729891357</v>
      </c>
      <c r="N92" s="185">
        <f t="shared" si="40"/>
        <v>2164.6734801610432</v>
      </c>
      <c r="O92" s="185">
        <f t="shared" si="40"/>
        <v>2182.1009720956822</v>
      </c>
      <c r="P92" s="185">
        <f t="shared" si="40"/>
        <v>2159.0440206579592</v>
      </c>
      <c r="Q92" s="185">
        <f t="shared" si="40"/>
        <v>2125.2178342374423</v>
      </c>
      <c r="R92" s="185">
        <f t="shared" si="40"/>
        <v>2167.7221909221894</v>
      </c>
    </row>
    <row r="93" spans="1:18" x14ac:dyDescent="0.25">
      <c r="A93" s="49"/>
      <c r="D93" s="57"/>
      <c r="E93" s="7" t="s">
        <v>375</v>
      </c>
      <c r="G93" s="92" t="s">
        <v>235</v>
      </c>
      <c r="H93" s="244"/>
      <c r="I93" s="244"/>
      <c r="J93" s="185">
        <f t="shared" ref="J93:K93" si="41" xml:space="preserve"> ( (J90+J91) + J92) / 2</f>
        <v>0</v>
      </c>
      <c r="K93" s="185">
        <f t="shared" si="41"/>
        <v>0</v>
      </c>
      <c r="L93" s="185">
        <f xml:space="preserve"> ( (L90+L91) + L92) / 2</f>
        <v>1130.1755815778138</v>
      </c>
      <c r="M93" s="185">
        <f xml:space="preserve"> ( (M90+M91) + M92) / 2</f>
        <v>2248.3780677273753</v>
      </c>
      <c r="N93" s="185">
        <f t="shared" ref="N93:P93" si="42" xml:space="preserve"> ( (N90+N91) + N92) / 2</f>
        <v>2222.3291671566312</v>
      </c>
      <c r="O93" s="185">
        <f t="shared" si="42"/>
        <v>2240.220837189866</v>
      </c>
      <c r="P93" s="185">
        <f t="shared" si="42"/>
        <v>2216.5497680169046</v>
      </c>
      <c r="Q93" s="185">
        <f xml:space="preserve"> ( (Q90+Q91) + Q92) / 2</f>
        <v>2181.8226272333441</v>
      </c>
      <c r="R93" s="185">
        <f t="shared" ref="R93" si="43" xml:space="preserve"> ( (R90+R91) + R92) / 2</f>
        <v>2167.7221909221894</v>
      </c>
    </row>
    <row r="94" spans="1:18" x14ac:dyDescent="0.25">
      <c r="A94" s="49"/>
      <c r="D94" s="57"/>
      <c r="J94" s="92"/>
      <c r="K94" s="92"/>
      <c r="L94" s="92"/>
      <c r="M94" s="92"/>
      <c r="N94" s="92"/>
      <c r="O94" s="92"/>
      <c r="P94" s="92"/>
      <c r="Q94" s="92"/>
      <c r="R94" s="92"/>
    </row>
    <row r="95" spans="1:18" x14ac:dyDescent="0.25">
      <c r="B95" s="61" t="s">
        <v>376</v>
      </c>
    </row>
    <row r="96" spans="1:18" s="205" customFormat="1" x14ac:dyDescent="0.25">
      <c r="A96" s="201"/>
      <c r="B96" s="202"/>
      <c r="C96" s="203"/>
      <c r="D96" s="204"/>
      <c r="E96" s="205" t="str">
        <f xml:space="preserve"> InpR!E$103</f>
        <v>WACC on RCV - CPI(H) + RPI wedge bf and additions - WWN</v>
      </c>
      <c r="F96" s="205">
        <f xml:space="preserve"> InpR!F$103</f>
        <v>0</v>
      </c>
      <c r="G96" s="223" t="str">
        <f xml:space="preserve"> InpR!G$103</f>
        <v>%</v>
      </c>
      <c r="H96" s="205" t="str">
        <f xml:space="preserve"> InpR!I$103</f>
        <v>PR19 Financial model, 'Wastewater Network' sheet row 980</v>
      </c>
      <c r="I96" s="205" t="e">
        <f xml:space="preserve"> InpR!#REF!</f>
        <v>#REF!</v>
      </c>
      <c r="J96" s="205">
        <f xml:space="preserve"> InpR!J$103</f>
        <v>0</v>
      </c>
      <c r="K96" s="205">
        <f xml:space="preserve"> InpR!K$103</f>
        <v>0</v>
      </c>
      <c r="L96" s="205">
        <f xml:space="preserve"> InpR!L$103</f>
        <v>0</v>
      </c>
      <c r="M96" s="205">
        <f xml:space="preserve"> InpR!M$103</f>
        <v>2.2181345335277269E-2</v>
      </c>
      <c r="N96" s="205">
        <f xml:space="preserve"> InpR!N$103</f>
        <v>2.2181345335277269E-2</v>
      </c>
      <c r="O96" s="205">
        <f xml:space="preserve"> InpR!O$103</f>
        <v>2.2181345335277269E-2</v>
      </c>
      <c r="P96" s="205">
        <f xml:space="preserve"> InpR!P$103</f>
        <v>2.2181345335277269E-2</v>
      </c>
      <c r="Q96" s="205">
        <f xml:space="preserve"> InpR!Q$103</f>
        <v>2.2181345335277269E-2</v>
      </c>
      <c r="R96" s="205">
        <f xml:space="preserve"> InpR!R$103</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1130.1755815778138</v>
      </c>
      <c r="M98" s="184">
        <f t="shared" si="44"/>
        <v>2248.3780677273753</v>
      </c>
      <c r="N98" s="184">
        <f t="shared" si="44"/>
        <v>2222.3291671566312</v>
      </c>
      <c r="O98" s="184">
        <f t="shared" si="44"/>
        <v>2240.220837189866</v>
      </c>
      <c r="P98" s="184">
        <f t="shared" si="44"/>
        <v>2216.5497680169046</v>
      </c>
      <c r="Q98" s="184">
        <f t="shared" si="44"/>
        <v>2181.8226272333441</v>
      </c>
      <c r="R98" s="184">
        <f t="shared" si="44"/>
        <v>2167.7221909221894</v>
      </c>
    </row>
    <row r="99" spans="1:26" x14ac:dyDescent="0.25">
      <c r="E99" s="7" t="s">
        <v>377</v>
      </c>
      <c r="F99" s="244"/>
      <c r="G99" s="184" t="s">
        <v>235</v>
      </c>
      <c r="H99" s="244"/>
      <c r="I99" s="244"/>
      <c r="J99" s="244">
        <f t="shared" ref="J99:K99" si="45">J96*J97*J98</f>
        <v>0</v>
      </c>
      <c r="K99" s="244">
        <f t="shared" si="45"/>
        <v>0</v>
      </c>
      <c r="L99" s="244">
        <f>L96*L97*L98</f>
        <v>0</v>
      </c>
      <c r="M99" s="244">
        <f>M96*M97*M98</f>
        <v>49.872050364524334</v>
      </c>
      <c r="N99" s="244">
        <f t="shared" ref="N99:R99" si="46">N96*N97*N98</f>
        <v>49.294250705360362</v>
      </c>
      <c r="O99" s="244">
        <f t="shared" si="46"/>
        <v>49.691112016992371</v>
      </c>
      <c r="P99" s="244">
        <f t="shared" si="46"/>
        <v>49.166055857211681</v>
      </c>
      <c r="Q99" s="244">
        <f t="shared" si="46"/>
        <v>48.395761154984733</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2260.3511631556275</v>
      </c>
      <c r="M102" s="185">
        <f t="shared" si="47"/>
        <v>2190.0465729891357</v>
      </c>
      <c r="N102" s="185">
        <f t="shared" si="47"/>
        <v>2164.6734801610432</v>
      </c>
      <c r="O102" s="185">
        <f t="shared" si="47"/>
        <v>2182.1009720956822</v>
      </c>
      <c r="P102" s="185">
        <f t="shared" si="47"/>
        <v>2159.0440206579592</v>
      </c>
      <c r="Q102" s="185">
        <f t="shared" si="47"/>
        <v>2125.2178342374423</v>
      </c>
      <c r="R102" s="185">
        <f t="shared" si="47"/>
        <v>2167.7221909221894</v>
      </c>
    </row>
    <row r="103" spans="1:26" x14ac:dyDescent="0.25">
      <c r="C103" s="278"/>
      <c r="E103" s="7" t="s">
        <v>378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2125.2178342374423</v>
      </c>
      <c r="R103" s="184">
        <f t="shared" si="48"/>
        <v>0</v>
      </c>
    </row>
    <row r="104" spans="1:26" x14ac:dyDescent="0.25">
      <c r="J104" s="91"/>
      <c r="K104" s="91"/>
      <c r="L104" s="91"/>
      <c r="M104" s="91"/>
      <c r="N104" s="91"/>
      <c r="O104" s="91"/>
      <c r="P104" s="91"/>
      <c r="Q104" s="91"/>
      <c r="R104" s="91"/>
    </row>
    <row r="105" spans="1:26" x14ac:dyDescent="0.25">
      <c r="B105" s="61" t="s">
        <v>379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116.66298947647974</v>
      </c>
      <c r="N106" s="184">
        <f t="shared" si="49"/>
        <v>115.31137399117554</v>
      </c>
      <c r="O106" s="184">
        <f t="shared" si="49"/>
        <v>116.23973018836693</v>
      </c>
      <c r="P106" s="184">
        <f t="shared" si="49"/>
        <v>115.01149471789134</v>
      </c>
      <c r="Q106" s="184">
        <f t="shared" si="49"/>
        <v>113.20958599180425</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49.872050364524334</v>
      </c>
      <c r="N107" s="184">
        <f t="shared" si="50"/>
        <v>49.294250705360362</v>
      </c>
      <c r="O107" s="184">
        <f t="shared" si="50"/>
        <v>49.691112016992371</v>
      </c>
      <c r="P107" s="184">
        <f t="shared" si="50"/>
        <v>49.166055857211681</v>
      </c>
      <c r="Q107" s="184">
        <f t="shared" si="50"/>
        <v>48.395761154984733</v>
      </c>
      <c r="R107" s="184">
        <f t="shared" si="50"/>
        <v>0</v>
      </c>
      <c r="S107" s="92"/>
      <c r="T107" s="92"/>
      <c r="U107" s="92"/>
      <c r="V107" s="92"/>
      <c r="W107" s="92"/>
      <c r="X107" s="92"/>
      <c r="Y107" s="92"/>
      <c r="Z107" s="92"/>
    </row>
    <row r="108" spans="1:26" x14ac:dyDescent="0.25">
      <c r="E108" s="7" t="s">
        <v>380</v>
      </c>
      <c r="F108" s="244"/>
      <c r="G108" s="184" t="str">
        <f t="shared" si="50"/>
        <v>£m</v>
      </c>
      <c r="H108" s="244">
        <f>SUM(J108:R108)</f>
        <v>822.85440446479129</v>
      </c>
      <c r="I108" s="244"/>
      <c r="J108" s="244">
        <f t="shared" ref="J108:R108" si="51">SUM(J106:J107)</f>
        <v>0</v>
      </c>
      <c r="K108" s="244">
        <f t="shared" si="51"/>
        <v>0</v>
      </c>
      <c r="L108" s="244">
        <f t="shared" si="51"/>
        <v>0</v>
      </c>
      <c r="M108" s="244">
        <f t="shared" si="51"/>
        <v>166.53503984100408</v>
      </c>
      <c r="N108" s="244">
        <f t="shared" si="51"/>
        <v>164.6056246965359</v>
      </c>
      <c r="O108" s="244">
        <f t="shared" si="51"/>
        <v>165.93084220535931</v>
      </c>
      <c r="P108" s="244">
        <f t="shared" si="51"/>
        <v>164.17755057510303</v>
      </c>
      <c r="Q108" s="244">
        <f t="shared" si="51"/>
        <v>161.60534714678897</v>
      </c>
      <c r="R108" s="244">
        <f t="shared" si="51"/>
        <v>0</v>
      </c>
    </row>
    <row r="110" spans="1:26" ht="12.9" x14ac:dyDescent="0.25">
      <c r="A110" s="285" t="s">
        <v>381</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382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167.14678526338491</v>
      </c>
      <c r="N114" s="184">
        <f t="shared" si="52"/>
        <v>163.38861324458338</v>
      </c>
      <c r="O114" s="184">
        <f t="shared" si="52"/>
        <v>160.01216610508618</v>
      </c>
      <c r="P114" s="184">
        <f t="shared" si="52"/>
        <v>156.78089386378213</v>
      </c>
      <c r="Q114" s="184">
        <f t="shared" si="52"/>
        <v>153.61487366269193</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822.85440446479129</v>
      </c>
      <c r="I115" s="184">
        <f t="shared" si="53"/>
        <v>0</v>
      </c>
      <c r="J115" s="184">
        <f t="shared" si="53"/>
        <v>0</v>
      </c>
      <c r="K115" s="184">
        <f t="shared" si="53"/>
        <v>0</v>
      </c>
      <c r="L115" s="184">
        <f t="shared" si="53"/>
        <v>0</v>
      </c>
      <c r="M115" s="184">
        <f t="shared" si="53"/>
        <v>166.53503984100408</v>
      </c>
      <c r="N115" s="184">
        <f t="shared" si="53"/>
        <v>164.6056246965359</v>
      </c>
      <c r="O115" s="184">
        <f t="shared" si="53"/>
        <v>165.93084220535931</v>
      </c>
      <c r="P115" s="184">
        <f t="shared" si="53"/>
        <v>164.17755057510303</v>
      </c>
      <c r="Q115" s="184">
        <f t="shared" si="53"/>
        <v>161.60534714678897</v>
      </c>
      <c r="R115" s="184">
        <f t="shared" si="53"/>
        <v>0</v>
      </c>
    </row>
    <row r="116" spans="1:26" s="184" customFormat="1" x14ac:dyDescent="0.25">
      <c r="A116" s="180"/>
      <c r="B116" s="181"/>
      <c r="C116" s="182"/>
      <c r="D116" s="183"/>
      <c r="E116" s="7" t="s">
        <v>383</v>
      </c>
      <c r="G116" s="184" t="str">
        <f t="shared" ref="G116" si="54" xml:space="preserve"> G$99</f>
        <v>£m</v>
      </c>
      <c r="H116" s="244">
        <f>SUM(J116:R116)</f>
        <v>21.911072325262751</v>
      </c>
      <c r="M116" s="184">
        <f>M115-M114</f>
        <v>-0.61174542238083518</v>
      </c>
      <c r="N116" s="184">
        <f t="shared" ref="N116:Q116" si="55">N115-N114</f>
        <v>1.2170114519525157</v>
      </c>
      <c r="O116" s="184">
        <f t="shared" si="55"/>
        <v>5.9186761002731316</v>
      </c>
      <c r="P116" s="184">
        <f t="shared" si="55"/>
        <v>7.396656711320901</v>
      </c>
      <c r="Q116" s="184">
        <f t="shared" si="55"/>
        <v>7.9904734840970377</v>
      </c>
      <c r="S116" s="185"/>
      <c r="T116" s="185"/>
      <c r="U116" s="185"/>
      <c r="V116" s="185"/>
      <c r="W116" s="185"/>
      <c r="X116" s="185"/>
      <c r="Y116" s="185"/>
      <c r="Z116" s="185"/>
    </row>
    <row r="118" spans="1:26" ht="12.9" x14ac:dyDescent="0.25">
      <c r="A118" s="285" t="s">
        <v>384</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385</v>
      </c>
    </row>
    <row r="121" spans="1:26" x14ac:dyDescent="0.25">
      <c r="C121" s="110" t="s">
        <v>386</v>
      </c>
    </row>
    <row r="122" spans="1:26" x14ac:dyDescent="0.25">
      <c r="C122" s="110" t="s">
        <v>387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388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2260.3511631556275</v>
      </c>
      <c r="N128" s="245">
        <f t="shared" si="58"/>
        <v>2198.0914322998615</v>
      </c>
      <c r="O128" s="245">
        <f t="shared" si="58"/>
        <v>2148.6689698659015</v>
      </c>
      <c r="P128" s="245">
        <f t="shared" si="58"/>
        <v>2104.2664435639617</v>
      </c>
      <c r="Q128" s="245">
        <f t="shared" si="58"/>
        <v>2061.7730637610134</v>
      </c>
      <c r="R128" s="245">
        <f t="shared" si="58"/>
        <v>2020.1377917003604</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389</v>
      </c>
      <c r="G130" s="91" t="s">
        <v>235</v>
      </c>
      <c r="J130" s="246">
        <f>J128*J129</f>
        <v>0</v>
      </c>
      <c r="K130" s="246">
        <f t="shared" ref="K130:L130" si="60">K128*K129</f>
        <v>0</v>
      </c>
      <c r="L130" s="246">
        <f t="shared" si="60"/>
        <v>0</v>
      </c>
      <c r="M130" s="246">
        <f>M128*M129</f>
        <v>54.831805368843277</v>
      </c>
      <c r="N130" s="246">
        <f t="shared" ref="N130:R130" si="61">N128*N129</f>
        <v>65.036357077705219</v>
      </c>
      <c r="O130" s="246">
        <f t="shared" si="61"/>
        <v>67.690986680365583</v>
      </c>
      <c r="P130" s="246">
        <f t="shared" si="61"/>
        <v>67.336526194048233</v>
      </c>
      <c r="Q130" s="246">
        <f t="shared" si="61"/>
        <v>65.976738040352032</v>
      </c>
      <c r="R130" s="246">
        <f t="shared" si="61"/>
        <v>60.604133751010416</v>
      </c>
    </row>
    <row r="132" spans="1:16383" s="205" customFormat="1" x14ac:dyDescent="0.25">
      <c r="A132" s="201"/>
      <c r="B132" s="202"/>
      <c r="C132" s="203"/>
      <c r="D132" s="204"/>
      <c r="E132" s="37" t="str">
        <f xml:space="preserve"> InpR!E$96</f>
        <v>Run-off rate - CPI(H) + RPI wedge - active - WWN</v>
      </c>
      <c r="F132" s="205">
        <f xml:space="preserve"> InpR!F$96</f>
        <v>0</v>
      </c>
      <c r="G132" s="223" t="str">
        <f xml:space="preserve"> InpR!G$96</f>
        <v>%</v>
      </c>
      <c r="H132" s="205" t="str">
        <f xml:space="preserve"> InpR!I$96</f>
        <v>PR19 Financial model, 'F_OutputsMaster' sheet row 959, PR19FM2096POST</v>
      </c>
      <c r="I132" s="205" t="e">
        <f xml:space="preserve"> InpR!#REF!</f>
        <v>#REF!</v>
      </c>
      <c r="J132" s="205">
        <f xml:space="preserve"> InpR!J$96</f>
        <v>0</v>
      </c>
      <c r="K132" s="205">
        <f xml:space="preserve"> InpR!K$96</f>
        <v>0</v>
      </c>
      <c r="L132" s="205">
        <f xml:space="preserve"> InpR!L$96</f>
        <v>0</v>
      </c>
      <c r="M132" s="205">
        <f xml:space="preserve"> InpR!M$96</f>
        <v>5.0575500000000002E-2</v>
      </c>
      <c r="N132" s="205">
        <f xml:space="preserve"> InpR!N$96</f>
        <v>5.0575500000000002E-2</v>
      </c>
      <c r="O132" s="205">
        <f xml:space="preserve"> InpR!O$96</f>
        <v>5.0575500000000002E-2</v>
      </c>
      <c r="P132" s="205">
        <f xml:space="preserve"> InpR!P$96</f>
        <v>5.0575500000000002E-2</v>
      </c>
      <c r="Q132" s="205">
        <f xml:space="preserve"> InpR!Q$96</f>
        <v>5.0575500000000002E-2</v>
      </c>
      <c r="R132" s="205">
        <f xml:space="preserve"> InpR!R$96</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2260.3511631556275</v>
      </c>
      <c r="N133" s="245">
        <f t="shared" si="62"/>
        <v>2198.0914322998615</v>
      </c>
      <c r="O133" s="245">
        <f t="shared" si="62"/>
        <v>2148.6689698659015</v>
      </c>
      <c r="P133" s="245">
        <f t="shared" si="62"/>
        <v>2104.2664435639617</v>
      </c>
      <c r="Q133" s="245">
        <f t="shared" si="62"/>
        <v>2061.7730637610134</v>
      </c>
      <c r="R133" s="245">
        <f t="shared" si="62"/>
        <v>2020.1377917003604</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54.831805368843277</v>
      </c>
      <c r="N134" s="246">
        <f t="shared" si="63"/>
        <v>65.036357077705219</v>
      </c>
      <c r="O134" s="246">
        <f t="shared" si="63"/>
        <v>67.690986680365583</v>
      </c>
      <c r="P134" s="246">
        <f t="shared" si="63"/>
        <v>67.336526194048233</v>
      </c>
      <c r="Q134" s="246">
        <f t="shared" si="63"/>
        <v>65.976738040352032</v>
      </c>
      <c r="R134" s="246">
        <f t="shared" si="63"/>
        <v>60.604133751010416</v>
      </c>
      <c r="S134" s="92"/>
      <c r="T134" s="92"/>
      <c r="U134" s="92"/>
      <c r="V134" s="92"/>
      <c r="W134" s="92"/>
      <c r="X134" s="92"/>
      <c r="Y134" s="92"/>
      <c r="Z134" s="92"/>
    </row>
    <row r="135" spans="1:16383" x14ac:dyDescent="0.25">
      <c r="C135" s="278"/>
      <c r="E135" s="7" t="s">
        <v>390</v>
      </c>
      <c r="F135" s="247"/>
      <c r="G135" s="162" t="s">
        <v>235</v>
      </c>
      <c r="H135" s="247"/>
      <c r="I135" s="247"/>
      <c r="J135" s="246">
        <f t="shared" ref="J135:R135" si="64" xml:space="preserve"> (J133+J134) * J132</f>
        <v>0</v>
      </c>
      <c r="K135" s="246">
        <f t="shared" si="64"/>
        <v>0</v>
      </c>
      <c r="L135" s="246">
        <f t="shared" si="64"/>
        <v>0</v>
      </c>
      <c r="M135" s="246">
        <f xml:space="preserve"> (M133+M134) * M132</f>
        <v>117.09153622460937</v>
      </c>
      <c r="N135" s="246">
        <f t="shared" si="64"/>
        <v>114.45881951166514</v>
      </c>
      <c r="O135" s="246">
        <f t="shared" si="64"/>
        <v>112.09351298230575</v>
      </c>
      <c r="P135" s="246">
        <f t="shared" si="64"/>
        <v>109.82990599699623</v>
      </c>
      <c r="Q135" s="246">
        <f t="shared" si="64"/>
        <v>107.61201010100496</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InpR!$E$89</f>
        <v>RCV - CPI(H) + RPI wedge initial balance - nominal - WWN</v>
      </c>
      <c r="F137" s="250">
        <f>InpR!$F$89</f>
        <v>2260.3511631556275</v>
      </c>
      <c r="G137" s="250" t="str">
        <f>InpR!$G$89</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391</v>
      </c>
      <c r="G140" s="162" t="s">
        <v>235</v>
      </c>
      <c r="J140" s="242">
        <f t="shared" ref="J140:R140" si="65" xml:space="preserve"> I143</f>
        <v>0</v>
      </c>
      <c r="K140" s="242">
        <f t="shared" si="65"/>
        <v>0</v>
      </c>
      <c r="L140" s="242">
        <f t="shared" si="65"/>
        <v>0</v>
      </c>
      <c r="M140" s="242">
        <f t="shared" si="65"/>
        <v>2260.3511631556275</v>
      </c>
      <c r="N140" s="242">
        <f t="shared" si="65"/>
        <v>2198.0914322998615</v>
      </c>
      <c r="O140" s="242">
        <f t="shared" si="65"/>
        <v>2148.6689698659015</v>
      </c>
      <c r="P140" s="242">
        <f t="shared" si="65"/>
        <v>2104.2664435639617</v>
      </c>
      <c r="Q140" s="242">
        <f t="shared" si="65"/>
        <v>2061.7730637610134</v>
      </c>
      <c r="R140" s="242">
        <f t="shared" si="65"/>
        <v>2020.1377917003604</v>
      </c>
    </row>
    <row r="141" spans="1:16383" x14ac:dyDescent="0.25">
      <c r="A141" s="47"/>
      <c r="B141" s="51"/>
      <c r="C141" s="111"/>
      <c r="D141" s="56" t="s">
        <v>353</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54.831805368843277</v>
      </c>
      <c r="N141" s="242">
        <f t="shared" si="66"/>
        <v>65.036357077705219</v>
      </c>
      <c r="O141" s="242">
        <f t="shared" si="66"/>
        <v>67.690986680365583</v>
      </c>
      <c r="P141" s="242">
        <f t="shared" si="66"/>
        <v>67.336526194048233</v>
      </c>
      <c r="Q141" s="242">
        <f t="shared" si="66"/>
        <v>65.976738040352032</v>
      </c>
      <c r="R141" s="242">
        <f t="shared" si="66"/>
        <v>60.604133751010416</v>
      </c>
    </row>
    <row r="142" spans="1:16383" x14ac:dyDescent="0.25">
      <c r="A142" s="47"/>
      <c r="B142" s="51"/>
      <c r="C142" s="111"/>
      <c r="D142" s="56" t="s">
        <v>354</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117.09153622460937</v>
      </c>
      <c r="N142" s="242">
        <f t="shared" si="67"/>
        <v>114.45881951166514</v>
      </c>
      <c r="O142" s="242">
        <f t="shared" si="67"/>
        <v>112.09351298230575</v>
      </c>
      <c r="P142" s="242">
        <f t="shared" si="67"/>
        <v>109.82990599699623</v>
      </c>
      <c r="Q142" s="242">
        <f t="shared" si="67"/>
        <v>107.61201010100496</v>
      </c>
      <c r="R142" s="242">
        <f t="shared" si="67"/>
        <v>0</v>
      </c>
    </row>
    <row r="143" spans="1:16383" s="138" customFormat="1" x14ac:dyDescent="0.25">
      <c r="A143" s="134"/>
      <c r="B143" s="135"/>
      <c r="C143" s="279"/>
      <c r="D143" s="137"/>
      <c r="E143" s="138" t="s">
        <v>392</v>
      </c>
      <c r="G143" s="163" t="s">
        <v>235</v>
      </c>
      <c r="J143" s="243">
        <f t="shared" ref="J143:R143" si="68" xml:space="preserve"> IF( J138 = 1, $F137, J140 + J141 - J142)</f>
        <v>0</v>
      </c>
      <c r="K143" s="243">
        <f t="shared" si="68"/>
        <v>0</v>
      </c>
      <c r="L143" s="243">
        <f t="shared" si="68"/>
        <v>2260.3511631556275</v>
      </c>
      <c r="M143" s="243">
        <f t="shared" si="68"/>
        <v>2198.0914322998615</v>
      </c>
      <c r="N143" s="243">
        <f t="shared" si="68"/>
        <v>2148.6689698659015</v>
      </c>
      <c r="O143" s="243">
        <f t="shared" si="68"/>
        <v>2104.2664435639617</v>
      </c>
      <c r="P143" s="243">
        <f t="shared" si="68"/>
        <v>2061.7730637610134</v>
      </c>
      <c r="Q143" s="243">
        <f t="shared" si="68"/>
        <v>2020.1377917003604</v>
      </c>
      <c r="R143" s="243">
        <f t="shared" si="68"/>
        <v>2080.7419254513707</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2260.3511631556275</v>
      </c>
      <c r="N145" s="185">
        <f t="shared" si="69"/>
        <v>2198.0914322998615</v>
      </c>
      <c r="O145" s="185">
        <f t="shared" si="69"/>
        <v>2148.6689698659015</v>
      </c>
      <c r="P145" s="185">
        <f t="shared" si="69"/>
        <v>2104.2664435639617</v>
      </c>
      <c r="Q145" s="185">
        <f t="shared" si="69"/>
        <v>2061.7730637610134</v>
      </c>
      <c r="R145" s="185">
        <f t="shared" si="69"/>
        <v>2020.1377917003604</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54.831805368843277</v>
      </c>
      <c r="N146" s="184">
        <f t="shared" si="70"/>
        <v>65.036357077705219</v>
      </c>
      <c r="O146" s="184">
        <f t="shared" si="70"/>
        <v>67.690986680365583</v>
      </c>
      <c r="P146" s="184">
        <f t="shared" si="70"/>
        <v>67.336526194048233</v>
      </c>
      <c r="Q146" s="184">
        <f t="shared" si="70"/>
        <v>65.976738040352032</v>
      </c>
      <c r="R146" s="184">
        <f t="shared" si="70"/>
        <v>60.604133751010416</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2260.3511631556275</v>
      </c>
      <c r="M147" s="185">
        <f t="shared" si="71"/>
        <v>2198.0914322998615</v>
      </c>
      <c r="N147" s="185">
        <f t="shared" si="71"/>
        <v>2148.6689698659015</v>
      </c>
      <c r="O147" s="185">
        <f t="shared" si="71"/>
        <v>2104.2664435639617</v>
      </c>
      <c r="P147" s="185">
        <f t="shared" si="71"/>
        <v>2061.7730637610134</v>
      </c>
      <c r="Q147" s="185">
        <f t="shared" si="71"/>
        <v>2020.1377917003604</v>
      </c>
      <c r="R147" s="185">
        <f t="shared" si="71"/>
        <v>2080.7419254513707</v>
      </c>
    </row>
    <row r="148" spans="1:26" x14ac:dyDescent="0.25">
      <c r="A148" s="49"/>
      <c r="C148" s="278"/>
      <c r="D148" s="57"/>
      <c r="E148" s="7" t="s">
        <v>393</v>
      </c>
      <c r="F148" s="244"/>
      <c r="G148" s="185" t="s">
        <v>235</v>
      </c>
      <c r="H148" s="244"/>
      <c r="I148" s="244"/>
      <c r="J148" s="185">
        <f t="shared" ref="J148:L148" si="72" xml:space="preserve"> ( (J145+J146) + J147) / 2</f>
        <v>0</v>
      </c>
      <c r="K148" s="185">
        <f t="shared" si="72"/>
        <v>0</v>
      </c>
      <c r="L148" s="185">
        <f t="shared" si="72"/>
        <v>1130.1755815778138</v>
      </c>
      <c r="M148" s="185">
        <f xml:space="preserve"> ( (M145+M146) + M147) / 2</f>
        <v>2256.6372004121658</v>
      </c>
      <c r="N148" s="185">
        <f t="shared" ref="N148:R148" si="73" xml:space="preserve"> ( (N145+N146) + N147) / 2</f>
        <v>2205.8983796217344</v>
      </c>
      <c r="O148" s="185">
        <f t="shared" si="73"/>
        <v>2160.3132000551145</v>
      </c>
      <c r="P148" s="185">
        <f t="shared" si="73"/>
        <v>2116.6880167595118</v>
      </c>
      <c r="Q148" s="185">
        <f t="shared" si="73"/>
        <v>2073.9437967508629</v>
      </c>
      <c r="R148" s="185">
        <f t="shared" si="73"/>
        <v>2080.7419254513707</v>
      </c>
    </row>
    <row r="150" spans="1:26" s="205" customFormat="1" x14ac:dyDescent="0.25">
      <c r="A150" s="201"/>
      <c r="B150" s="202"/>
      <c r="C150" s="203"/>
      <c r="D150" s="204"/>
      <c r="E150" s="205" t="str">
        <f xml:space="preserve"> InpR!E$103</f>
        <v>WACC on RCV - CPI(H) + RPI wedge bf and additions - WWN</v>
      </c>
      <c r="F150" s="205">
        <f xml:space="preserve"> InpR!F$103</f>
        <v>0</v>
      </c>
      <c r="G150" s="223" t="str">
        <f xml:space="preserve"> InpR!G$103</f>
        <v>%</v>
      </c>
      <c r="H150" s="205" t="str">
        <f xml:space="preserve"> InpR!I$103</f>
        <v>PR19 Financial model, 'Wastewater Network' sheet row 980</v>
      </c>
      <c r="I150" s="205" t="e">
        <f xml:space="preserve"> InpR!#REF!</f>
        <v>#REF!</v>
      </c>
      <c r="J150" s="205">
        <f xml:space="preserve"> InpR!J$103</f>
        <v>0</v>
      </c>
      <c r="K150" s="205">
        <f xml:space="preserve"> InpR!K$103</f>
        <v>0</v>
      </c>
      <c r="L150" s="205">
        <f xml:space="preserve"> InpR!L$103</f>
        <v>0</v>
      </c>
      <c r="M150" s="205">
        <f xml:space="preserve"> InpR!M$103</f>
        <v>2.2181345335277269E-2</v>
      </c>
      <c r="N150" s="205">
        <f xml:space="preserve"> InpR!N$103</f>
        <v>2.2181345335277269E-2</v>
      </c>
      <c r="O150" s="205">
        <f xml:space="preserve"> InpR!O$103</f>
        <v>2.2181345335277269E-2</v>
      </c>
      <c r="P150" s="205">
        <f xml:space="preserve"> InpR!P$103</f>
        <v>2.2181345335277269E-2</v>
      </c>
      <c r="Q150" s="205">
        <f xml:space="preserve"> InpR!Q$103</f>
        <v>2.2181345335277269E-2</v>
      </c>
      <c r="R150" s="205">
        <f xml:space="preserve"> InpR!R$103</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1130.1755815778138</v>
      </c>
      <c r="M152" s="246">
        <f t="shared" si="74"/>
        <v>2256.6372004121658</v>
      </c>
      <c r="N152" s="246">
        <f t="shared" si="74"/>
        <v>2205.8983796217344</v>
      </c>
      <c r="O152" s="246">
        <f t="shared" si="74"/>
        <v>2160.3132000551145</v>
      </c>
      <c r="P152" s="246">
        <f t="shared" si="74"/>
        <v>2116.6880167595118</v>
      </c>
      <c r="Q152" s="246">
        <f t="shared" si="74"/>
        <v>2073.9437967508629</v>
      </c>
      <c r="R152" s="246">
        <f t="shared" si="74"/>
        <v>2080.7419254513707</v>
      </c>
    </row>
    <row r="153" spans="1:26" x14ac:dyDescent="0.25">
      <c r="C153" s="278"/>
      <c r="E153" s="7" t="s">
        <v>394</v>
      </c>
      <c r="F153" s="244"/>
      <c r="G153" s="184" t="s">
        <v>235</v>
      </c>
      <c r="H153" s="244"/>
      <c r="I153" s="244"/>
      <c r="J153" s="246">
        <f t="shared" ref="J153:K153" si="75">J150*J151*J152</f>
        <v>0</v>
      </c>
      <c r="K153" s="246">
        <f t="shared" si="75"/>
        <v>0</v>
      </c>
      <c r="L153" s="246">
        <f>L150*L151*L152</f>
        <v>0</v>
      </c>
      <c r="M153" s="246">
        <f t="shared" ref="M153:R153" si="76">M150*M151*M152</f>
        <v>50.05524903877555</v>
      </c>
      <c r="N153" s="246">
        <f t="shared" si="76"/>
        <v>48.929793732918249</v>
      </c>
      <c r="O153" s="246">
        <f t="shared" si="76"/>
        <v>47.918653122780427</v>
      </c>
      <c r="P153" s="246">
        <f t="shared" si="76"/>
        <v>46.950987866785894</v>
      </c>
      <c r="Q153" s="246">
        <f t="shared" si="76"/>
        <v>46.002863561686979</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117.09153622460937</v>
      </c>
      <c r="N155" s="184">
        <f t="shared" si="77"/>
        <v>114.45881951166514</v>
      </c>
      <c r="O155" s="184">
        <f t="shared" si="77"/>
        <v>112.09351298230575</v>
      </c>
      <c r="P155" s="184">
        <f t="shared" si="77"/>
        <v>109.82990599699623</v>
      </c>
      <c r="Q155" s="184">
        <f t="shared" si="77"/>
        <v>107.61201010100496</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50.05524903877555</v>
      </c>
      <c r="N156" s="184">
        <f t="shared" si="78"/>
        <v>48.929793732918249</v>
      </c>
      <c r="O156" s="184">
        <f t="shared" si="78"/>
        <v>47.918653122780427</v>
      </c>
      <c r="P156" s="184">
        <f t="shared" si="78"/>
        <v>46.950987866785894</v>
      </c>
      <c r="Q156" s="184">
        <f t="shared" si="78"/>
        <v>46.002863561686979</v>
      </c>
      <c r="R156" s="184">
        <f t="shared" si="78"/>
        <v>0</v>
      </c>
    </row>
    <row r="157" spans="1:26" x14ac:dyDescent="0.25">
      <c r="C157" s="278"/>
      <c r="E157" s="7" t="s">
        <v>395</v>
      </c>
      <c r="F157" s="244"/>
      <c r="G157" s="184" t="str">
        <f t="shared" ref="G157" si="79">G$155</f>
        <v>£m</v>
      </c>
      <c r="H157" s="244">
        <f>SUM(J157:R157)</f>
        <v>800.94333213952859</v>
      </c>
      <c r="I157" s="244"/>
      <c r="J157" s="244">
        <f t="shared" ref="J157:R157" si="80">SUM(J155:J156)</f>
        <v>0</v>
      </c>
      <c r="K157" s="244">
        <f t="shared" si="80"/>
        <v>0</v>
      </c>
      <c r="L157" s="244">
        <f>SUM(L155:L156)</f>
        <v>0</v>
      </c>
      <c r="M157" s="244">
        <f t="shared" si="80"/>
        <v>167.14678526338491</v>
      </c>
      <c r="N157" s="244">
        <f t="shared" si="80"/>
        <v>163.38861324458338</v>
      </c>
      <c r="O157" s="244">
        <f t="shared" si="80"/>
        <v>160.01216610508618</v>
      </c>
      <c r="P157" s="244">
        <f t="shared" si="80"/>
        <v>156.78089386378213</v>
      </c>
      <c r="Q157" s="244">
        <f t="shared" si="80"/>
        <v>153.61487366269193</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800.94333213952859</v>
      </c>
      <c r="I159" s="184">
        <f t="shared" si="81"/>
        <v>0</v>
      </c>
      <c r="J159" s="184">
        <f t="shared" si="81"/>
        <v>0</v>
      </c>
      <c r="K159" s="184">
        <f t="shared" si="81"/>
        <v>0</v>
      </c>
      <c r="L159" s="184">
        <f t="shared" si="81"/>
        <v>0</v>
      </c>
      <c r="M159" s="184">
        <f t="shared" si="81"/>
        <v>167.14678526338491</v>
      </c>
      <c r="N159" s="184">
        <f t="shared" si="81"/>
        <v>163.38861324458338</v>
      </c>
      <c r="O159" s="184">
        <f t="shared" si="81"/>
        <v>160.01216610508618</v>
      </c>
      <c r="P159" s="184">
        <f t="shared" si="81"/>
        <v>156.78089386378213</v>
      </c>
      <c r="Q159" s="184">
        <f t="shared" si="81"/>
        <v>153.61487366269193</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822.85440446479129</v>
      </c>
      <c r="I160" s="184">
        <f t="shared" si="82"/>
        <v>0</v>
      </c>
      <c r="J160" s="184">
        <f t="shared" si="82"/>
        <v>0</v>
      </c>
      <c r="K160" s="184">
        <f t="shared" si="82"/>
        <v>0</v>
      </c>
      <c r="L160" s="184">
        <f t="shared" si="82"/>
        <v>0</v>
      </c>
      <c r="M160" s="184">
        <f t="shared" si="82"/>
        <v>166.53503984100408</v>
      </c>
      <c r="N160" s="184">
        <f t="shared" si="82"/>
        <v>164.6056246965359</v>
      </c>
      <c r="O160" s="184">
        <f t="shared" si="82"/>
        <v>165.93084220535931</v>
      </c>
      <c r="P160" s="184">
        <f t="shared" si="82"/>
        <v>164.17755057510303</v>
      </c>
      <c r="Q160" s="184">
        <f t="shared" si="82"/>
        <v>161.60534714678897</v>
      </c>
      <c r="R160" s="184">
        <f t="shared" si="82"/>
        <v>0</v>
      </c>
    </row>
    <row r="161" spans="1:16383" s="185" customFormat="1" x14ac:dyDescent="0.25">
      <c r="A161" s="252"/>
      <c r="B161" s="181"/>
      <c r="C161" s="182"/>
      <c r="D161" s="253"/>
      <c r="E161" s="7" t="s">
        <v>396</v>
      </c>
      <c r="G161" s="185" t="str">
        <f t="shared" ref="G161" si="83" xml:space="preserve"> G$153</f>
        <v>£m</v>
      </c>
      <c r="H161" s="185">
        <f xml:space="preserve"> SUM(J161:R161)</f>
        <v>21.911072325262751</v>
      </c>
      <c r="J161" s="185">
        <f t="shared" ref="J161:K161" si="84">J160-J159</f>
        <v>0</v>
      </c>
      <c r="K161" s="185">
        <f t="shared" si="84"/>
        <v>0</v>
      </c>
      <c r="L161" s="185">
        <f>L160-L159</f>
        <v>0</v>
      </c>
      <c r="M161" s="185">
        <f>M160-M159</f>
        <v>-0.61174542238083518</v>
      </c>
      <c r="N161" s="185">
        <f t="shared" ref="N161:R161" si="85">N160-N159</f>
        <v>1.2170114519525157</v>
      </c>
      <c r="O161" s="185">
        <f t="shared" si="85"/>
        <v>5.9186761002731316</v>
      </c>
      <c r="P161" s="185">
        <f t="shared" si="85"/>
        <v>7.396656711320901</v>
      </c>
      <c r="Q161" s="185">
        <f t="shared" si="85"/>
        <v>7.9904734840970377</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21.911072325262751</v>
      </c>
      <c r="I163" s="248">
        <f t="shared" si="86"/>
        <v>0</v>
      </c>
      <c r="J163" s="248">
        <f t="shared" si="86"/>
        <v>0</v>
      </c>
      <c r="K163" s="248">
        <f t="shared" si="86"/>
        <v>0</v>
      </c>
      <c r="L163" s="248">
        <f t="shared" si="86"/>
        <v>0</v>
      </c>
      <c r="M163" s="248">
        <f t="shared" si="86"/>
        <v>-0.61174542238083518</v>
      </c>
      <c r="N163" s="248">
        <f t="shared" si="86"/>
        <v>1.2170114519525157</v>
      </c>
      <c r="O163" s="248">
        <f t="shared" si="86"/>
        <v>5.9186761002731316</v>
      </c>
      <c r="P163" s="248">
        <f t="shared" si="86"/>
        <v>7.396656711320901</v>
      </c>
      <c r="Q163" s="248">
        <f t="shared" si="86"/>
        <v>7.9904734840970377</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21.911072325262751</v>
      </c>
      <c r="I164" s="248">
        <f t="shared" si="87"/>
        <v>0</v>
      </c>
      <c r="J164" s="248">
        <f t="shared" si="87"/>
        <v>0</v>
      </c>
      <c r="K164" s="248">
        <f t="shared" si="87"/>
        <v>0</v>
      </c>
      <c r="L164" s="248">
        <f t="shared" si="87"/>
        <v>0</v>
      </c>
      <c r="M164" s="248">
        <f t="shared" si="87"/>
        <v>-0.61174542238083518</v>
      </c>
      <c r="N164" s="248">
        <f t="shared" si="87"/>
        <v>1.2170114519525157</v>
      </c>
      <c r="O164" s="248">
        <f t="shared" si="87"/>
        <v>5.9186761002731316</v>
      </c>
      <c r="P164" s="248">
        <f t="shared" si="87"/>
        <v>7.396656711320901</v>
      </c>
      <c r="Q164" s="248">
        <f t="shared" si="87"/>
        <v>7.9904734840970377</v>
      </c>
      <c r="R164" s="248">
        <f t="shared" si="87"/>
        <v>0</v>
      </c>
      <c r="S164" s="92"/>
      <c r="T164" s="92"/>
      <c r="U164" s="92"/>
      <c r="V164" s="92"/>
      <c r="W164" s="92"/>
      <c r="X164" s="92"/>
      <c r="Y164" s="92"/>
      <c r="Z164" s="92"/>
    </row>
    <row r="165" spans="1:16383" s="211" customFormat="1" x14ac:dyDescent="0.25">
      <c r="A165" s="224"/>
      <c r="B165" s="208"/>
      <c r="C165" s="209"/>
      <c r="D165" s="210"/>
      <c r="E165" s="7" t="s">
        <v>397</v>
      </c>
      <c r="F165" s="225">
        <f>SUM(J165:R165)</f>
        <v>0</v>
      </c>
      <c r="G165" s="211" t="s">
        <v>317</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398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1130.1755815778138</v>
      </c>
      <c r="M169" s="185">
        <f t="shared" si="90"/>
        <v>2256.6372004121658</v>
      </c>
      <c r="N169" s="184">
        <f t="shared" si="90"/>
        <v>2205.8983796217344</v>
      </c>
      <c r="O169" s="184">
        <f t="shared" si="90"/>
        <v>2160.3132000551145</v>
      </c>
      <c r="P169" s="184">
        <f t="shared" si="90"/>
        <v>2116.6880167595118</v>
      </c>
      <c r="Q169" s="184">
        <f t="shared" si="90"/>
        <v>2073.9437967508629</v>
      </c>
      <c r="R169" s="184">
        <f t="shared" si="90"/>
        <v>2080.7419254513707</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1130.1755815778138</v>
      </c>
      <c r="M170" s="185">
        <f t="shared" si="91"/>
        <v>2248.3780677273753</v>
      </c>
      <c r="N170" s="184">
        <f t="shared" si="91"/>
        <v>2222.3291671566312</v>
      </c>
      <c r="O170" s="184">
        <f t="shared" si="91"/>
        <v>2240.220837189866</v>
      </c>
      <c r="P170" s="184">
        <f t="shared" si="91"/>
        <v>2216.5497680169046</v>
      </c>
      <c r="Q170" s="184">
        <f t="shared" si="91"/>
        <v>2181.8226272333441</v>
      </c>
      <c r="R170" s="184">
        <f t="shared" si="91"/>
        <v>2167.7221909221894</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235</v>
      </c>
      <c r="H172" s="244"/>
      <c r="I172" s="184"/>
      <c r="J172" s="184">
        <f t="shared" ref="J172:R173" si="92" xml:space="preserve"> IF(J$171 = 0, 0, J169 / J$171)</f>
        <v>0</v>
      </c>
      <c r="K172" s="184">
        <f t="shared" si="92"/>
        <v>0</v>
      </c>
      <c r="L172" s="184">
        <f t="shared" si="92"/>
        <v>1085.03495882466</v>
      </c>
      <c r="M172" s="184">
        <f t="shared" si="92"/>
        <v>2124.370298293954</v>
      </c>
      <c r="N172" s="184">
        <f t="shared" si="92"/>
        <v>2035.803854644415</v>
      </c>
      <c r="O172" s="184">
        <f t="shared" si="92"/>
        <v>1953.20230824789</v>
      </c>
      <c r="P172" s="184">
        <f t="shared" si="92"/>
        <v>1874.3971644506623</v>
      </c>
      <c r="Q172" s="184">
        <f t="shared" si="92"/>
        <v>1798.7715431548525</v>
      </c>
      <c r="R172" s="184">
        <f t="shared" si="92"/>
        <v>1769.2820505696316</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235</v>
      </c>
      <c r="H173" s="244"/>
      <c r="I173" s="184"/>
      <c r="J173" s="184">
        <f t="shared" si="92"/>
        <v>0</v>
      </c>
      <c r="K173" s="184">
        <f t="shared" si="92"/>
        <v>0</v>
      </c>
      <c r="L173" s="184">
        <f t="shared" si="92"/>
        <v>1085.03495882466</v>
      </c>
      <c r="M173" s="184">
        <f t="shared" si="92"/>
        <v>2116.5952531240732</v>
      </c>
      <c r="N173" s="184">
        <f t="shared" si="92"/>
        <v>2050.9676812773182</v>
      </c>
      <c r="O173" s="184">
        <f t="shared" si="92"/>
        <v>2025.4491386122322</v>
      </c>
      <c r="P173" s="184">
        <f t="shared" si="92"/>
        <v>1962.8280441607926</v>
      </c>
      <c r="Q173" s="184">
        <f t="shared" si="92"/>
        <v>1892.3369380728441</v>
      </c>
      <c r="R173" s="184">
        <f t="shared" si="92"/>
        <v>1843.2425069668936</v>
      </c>
      <c r="S173" s="92"/>
      <c r="T173" s="92"/>
      <c r="U173" s="92"/>
      <c r="V173" s="92"/>
      <c r="W173" s="92"/>
      <c r="X173" s="92"/>
      <c r="Y173" s="92"/>
      <c r="Z173" s="92"/>
    </row>
    <row r="174" spans="1:16383" s="91" customFormat="1" x14ac:dyDescent="0.25">
      <c r="A174" s="170"/>
      <c r="B174" s="165"/>
      <c r="C174" s="166"/>
      <c r="D174" s="171"/>
      <c r="E174" s="7" t="s">
        <v>399</v>
      </c>
      <c r="F174" s="184"/>
      <c r="G174" s="184" t="s">
        <v>235</v>
      </c>
      <c r="H174" s="244"/>
      <c r="I174" s="184"/>
      <c r="J174" s="185">
        <f>J173-J172</f>
        <v>0</v>
      </c>
      <c r="K174" s="185">
        <f t="shared" ref="K174:R174" si="93">K173-K172</f>
        <v>0</v>
      </c>
      <c r="L174" s="185">
        <f t="shared" si="93"/>
        <v>0</v>
      </c>
      <c r="M174" s="185">
        <f t="shared" si="93"/>
        <v>-7.775045169880741</v>
      </c>
      <c r="N174" s="185">
        <f t="shared" si="93"/>
        <v>15.163826632903238</v>
      </c>
      <c r="O174" s="185">
        <f t="shared" si="93"/>
        <v>72.246830364342259</v>
      </c>
      <c r="P174" s="185">
        <f t="shared" si="93"/>
        <v>88.430879710130284</v>
      </c>
      <c r="Q174" s="185">
        <f t="shared" si="93"/>
        <v>93.565394917991625</v>
      </c>
      <c r="R174" s="185">
        <f t="shared" si="93"/>
        <v>73.960456397262078</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-7.775045169880741</v>
      </c>
      <c r="N176" s="185">
        <f t="shared" si="94"/>
        <v>15.163826632903238</v>
      </c>
      <c r="O176" s="185">
        <f t="shared" si="94"/>
        <v>72.246830364342259</v>
      </c>
      <c r="P176" s="185">
        <f t="shared" si="94"/>
        <v>88.430879710130284</v>
      </c>
      <c r="Q176" s="185">
        <f t="shared" si="94"/>
        <v>93.565394917991625</v>
      </c>
      <c r="R176" s="185">
        <f t="shared" si="94"/>
        <v>73.960456397262078</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415</v>
      </c>
      <c r="F178" s="271"/>
      <c r="G178" s="271" t="s">
        <v>235</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93.565394917991625</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401</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117.09153622460937</v>
      </c>
      <c r="N182" s="184">
        <f t="shared" si="96"/>
        <v>114.45881951166514</v>
      </c>
      <c r="O182" s="184">
        <f t="shared" si="96"/>
        <v>112.09351298230575</v>
      </c>
      <c r="P182" s="184">
        <f t="shared" si="96"/>
        <v>109.82990599699623</v>
      </c>
      <c r="Q182" s="184">
        <f t="shared" si="96"/>
        <v>107.61201010100496</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50.05524903877555</v>
      </c>
      <c r="N183" s="184">
        <f t="shared" si="97"/>
        <v>48.929793732918249</v>
      </c>
      <c r="O183" s="184">
        <f t="shared" si="97"/>
        <v>47.918653122780427</v>
      </c>
      <c r="P183" s="184">
        <f t="shared" si="97"/>
        <v>46.950987866785894</v>
      </c>
      <c r="Q183" s="184">
        <f t="shared" si="97"/>
        <v>46.002863561686979</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800.94333213952859</v>
      </c>
      <c r="I184" s="184">
        <f t="shared" si="98"/>
        <v>0</v>
      </c>
      <c r="J184" s="184">
        <f t="shared" si="98"/>
        <v>0</v>
      </c>
      <c r="K184" s="184">
        <f t="shared" si="98"/>
        <v>0</v>
      </c>
      <c r="L184" s="184">
        <f t="shared" si="98"/>
        <v>0</v>
      </c>
      <c r="M184" s="184">
        <f t="shared" si="98"/>
        <v>167.14678526338491</v>
      </c>
      <c r="N184" s="184">
        <f t="shared" si="98"/>
        <v>163.38861324458338</v>
      </c>
      <c r="O184" s="184">
        <f t="shared" si="98"/>
        <v>160.01216610508618</v>
      </c>
      <c r="P184" s="184">
        <f t="shared" si="98"/>
        <v>156.78089386378213</v>
      </c>
      <c r="Q184" s="184">
        <f t="shared" si="98"/>
        <v>153.61487366269193</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116.66298947647974</v>
      </c>
      <c r="N185" s="184">
        <f t="shared" si="99"/>
        <v>115.31137399117554</v>
      </c>
      <c r="O185" s="184">
        <f t="shared" si="99"/>
        <v>116.23973018836693</v>
      </c>
      <c r="P185" s="184">
        <f t="shared" si="99"/>
        <v>115.01149471789134</v>
      </c>
      <c r="Q185" s="184">
        <f t="shared" si="99"/>
        <v>113.20958599180425</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49.872050364524334</v>
      </c>
      <c r="N186" s="184">
        <f t="shared" si="100"/>
        <v>49.294250705360362</v>
      </c>
      <c r="O186" s="184">
        <f t="shared" si="100"/>
        <v>49.691112016992371</v>
      </c>
      <c r="P186" s="184">
        <f t="shared" si="100"/>
        <v>49.166055857211681</v>
      </c>
      <c r="Q186" s="184">
        <f t="shared" si="100"/>
        <v>48.395761154984733</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822.85440446479129</v>
      </c>
      <c r="I187" s="184">
        <f t="shared" si="101"/>
        <v>0</v>
      </c>
      <c r="J187" s="184">
        <f t="shared" si="101"/>
        <v>0</v>
      </c>
      <c r="K187" s="184">
        <f t="shared" si="101"/>
        <v>0</v>
      </c>
      <c r="L187" s="184">
        <f t="shared" si="101"/>
        <v>0</v>
      </c>
      <c r="M187" s="184">
        <f t="shared" si="101"/>
        <v>166.53503984100408</v>
      </c>
      <c r="N187" s="184">
        <f t="shared" si="101"/>
        <v>164.6056246965359</v>
      </c>
      <c r="O187" s="184">
        <f t="shared" si="101"/>
        <v>165.93084220535931</v>
      </c>
      <c r="P187" s="184">
        <f t="shared" si="101"/>
        <v>164.17755057510303</v>
      </c>
      <c r="Q187" s="184">
        <f t="shared" si="101"/>
        <v>161.60534714678897</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507.80054850467752</v>
      </c>
      <c r="I189" s="184"/>
      <c r="J189" s="184">
        <f t="shared" ref="J189:R194" si="105" xml:space="preserve"> IF(J$188 = 0, 0, J182 / J$188)</f>
        <v>0</v>
      </c>
      <c r="K189" s="184">
        <f t="shared" si="105"/>
        <v>0</v>
      </c>
      <c r="L189" s="184">
        <f t="shared" si="105"/>
        <v>0</v>
      </c>
      <c r="M189" s="185">
        <f t="shared" si="105"/>
        <v>110.22852131115195</v>
      </c>
      <c r="N189" s="184">
        <f t="shared" si="105"/>
        <v>105.63301923266955</v>
      </c>
      <c r="O189" s="184">
        <f t="shared" si="105"/>
        <v>101.34702148330562</v>
      </c>
      <c r="P189" s="184">
        <f t="shared" si="105"/>
        <v>97.258010033909471</v>
      </c>
      <c r="Q189" s="184">
        <f t="shared" si="105"/>
        <v>93.333976443640921</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217.07873802825972</v>
      </c>
      <c r="I190" s="184"/>
      <c r="J190" s="184">
        <f t="shared" si="105"/>
        <v>0</v>
      </c>
      <c r="K190" s="184">
        <f t="shared" si="105"/>
        <v>0</v>
      </c>
      <c r="L190" s="184">
        <f t="shared" si="105"/>
        <v>0</v>
      </c>
      <c r="M190" s="185">
        <f t="shared" si="105"/>
        <v>47.121391206464168</v>
      </c>
      <c r="N190" s="184">
        <f xml:space="preserve"> IF(N$188 = 0, 0, N183 / N$188)</f>
        <v>45.156868334756382</v>
      </c>
      <c r="O190" s="184">
        <f t="shared" si="105"/>
        <v>43.324654908907128</v>
      </c>
      <c r="P190" s="184">
        <f t="shared" si="105"/>
        <v>41.576650800144641</v>
      </c>
      <c r="Q190" s="184">
        <f t="shared" si="105"/>
        <v>39.899172777987381</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724.87928653293716</v>
      </c>
      <c r="I191" s="184"/>
      <c r="J191" s="184">
        <f t="shared" si="105"/>
        <v>0</v>
      </c>
      <c r="K191" s="184">
        <f t="shared" si="105"/>
        <v>0</v>
      </c>
      <c r="L191" s="184">
        <f t="shared" si="105"/>
        <v>0</v>
      </c>
      <c r="M191" s="185">
        <f t="shared" si="105"/>
        <v>157.3499125176161</v>
      </c>
      <c r="N191" s="184">
        <f t="shared" si="105"/>
        <v>150.78988756742592</v>
      </c>
      <c r="O191" s="184">
        <f t="shared" si="105"/>
        <v>144.67167639221276</v>
      </c>
      <c r="P191" s="184">
        <f t="shared" si="105"/>
        <v>138.83466083405412</v>
      </c>
      <c r="Q191" s="184">
        <f t="shared" si="105"/>
        <v>133.23314922162831</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521.37600472104236</v>
      </c>
      <c r="I192" s="184"/>
      <c r="J192" s="184">
        <f t="shared" si="105"/>
        <v>0</v>
      </c>
      <c r="K192" s="184">
        <f t="shared" si="105"/>
        <v>0</v>
      </c>
      <c r="L192" s="184">
        <f t="shared" si="105"/>
        <v>0</v>
      </c>
      <c r="M192" s="185">
        <f t="shared" si="105"/>
        <v>109.82509271262013</v>
      </c>
      <c r="N192" s="184">
        <f t="shared" si="105"/>
        <v>106.4198341248312</v>
      </c>
      <c r="O192" s="184">
        <f t="shared" si="105"/>
        <v>105.09573764963244</v>
      </c>
      <c r="P192" s="184">
        <f t="shared" si="105"/>
        <v>101.84647802205644</v>
      </c>
      <c r="Q192" s="184">
        <f t="shared" si="105"/>
        <v>98.188862211902162</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222.88208525244889</v>
      </c>
      <c r="I193" s="184"/>
      <c r="J193" s="184">
        <f t="shared" si="105"/>
        <v>0</v>
      </c>
      <c r="K193" s="184">
        <f t="shared" si="105"/>
        <v>0</v>
      </c>
      <c r="L193" s="184">
        <f t="shared" si="105"/>
        <v>0</v>
      </c>
      <c r="M193" s="185">
        <f t="shared" si="105"/>
        <v>46.948930244553665</v>
      </c>
      <c r="N193" s="184">
        <f t="shared" si="105"/>
        <v>45.49322240990508</v>
      </c>
      <c r="O193" s="184">
        <f t="shared" si="105"/>
        <v>44.927186802597795</v>
      </c>
      <c r="P193" s="184">
        <f t="shared" si="105"/>
        <v>43.538166681297405</v>
      </c>
      <c r="Q193" s="184">
        <f t="shared" si="105"/>
        <v>41.974579114094951</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744.25808997349122</v>
      </c>
      <c r="I194" s="184"/>
      <c r="J194" s="184">
        <f t="shared" si="105"/>
        <v>0</v>
      </c>
      <c r="K194" s="184">
        <f t="shared" si="105"/>
        <v>0</v>
      </c>
      <c r="L194" s="184">
        <f t="shared" si="105"/>
        <v>0</v>
      </c>
      <c r="M194" s="185">
        <f t="shared" si="105"/>
        <v>156.7740229571738</v>
      </c>
      <c r="N194" s="184">
        <f t="shared" si="105"/>
        <v>151.91305653473628</v>
      </c>
      <c r="O194" s="184">
        <f t="shared" si="105"/>
        <v>150.02292445223023</v>
      </c>
      <c r="P194" s="184">
        <f t="shared" si="105"/>
        <v>145.38464470335384</v>
      </c>
      <c r="Q194" s="184">
        <f t="shared" si="105"/>
        <v>140.1634413259971</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507.80054850467752</v>
      </c>
      <c r="I196" s="247">
        <f t="shared" si="106"/>
        <v>0</v>
      </c>
      <c r="J196" s="184">
        <f t="shared" si="106"/>
        <v>0</v>
      </c>
      <c r="K196" s="184">
        <f t="shared" si="106"/>
        <v>0</v>
      </c>
      <c r="L196" s="184">
        <f t="shared" si="106"/>
        <v>0</v>
      </c>
      <c r="M196" s="185">
        <f t="shared" si="106"/>
        <v>110.22852131115195</v>
      </c>
      <c r="N196" s="184">
        <f t="shared" si="106"/>
        <v>105.63301923266955</v>
      </c>
      <c r="O196" s="184">
        <f t="shared" si="106"/>
        <v>101.34702148330562</v>
      </c>
      <c r="P196" s="184">
        <f t="shared" si="106"/>
        <v>97.258010033909471</v>
      </c>
      <c r="Q196" s="184">
        <f t="shared" si="106"/>
        <v>93.333976443640921</v>
      </c>
      <c r="R196" s="184">
        <f t="shared" si="106"/>
        <v>0</v>
      </c>
    </row>
    <row r="197" spans="1:26" x14ac:dyDescent="0.25">
      <c r="E197" s="7" t="str">
        <f>E$192</f>
        <v>RCV run-off company should have received- real</v>
      </c>
      <c r="F197" s="184">
        <f t="shared" ref="F197:R197" si="107">F$192</f>
        <v>0</v>
      </c>
      <c r="G197" s="7" t="str">
        <f t="shared" si="107"/>
        <v>£m</v>
      </c>
      <c r="H197" s="247">
        <f t="shared" si="107"/>
        <v>521.37600472104236</v>
      </c>
      <c r="I197" s="247">
        <f t="shared" si="107"/>
        <v>0</v>
      </c>
      <c r="J197" s="184">
        <f t="shared" si="107"/>
        <v>0</v>
      </c>
      <c r="K197" s="184">
        <f t="shared" si="107"/>
        <v>0</v>
      </c>
      <c r="L197" s="184">
        <f t="shared" si="107"/>
        <v>0</v>
      </c>
      <c r="M197" s="185">
        <f t="shared" si="107"/>
        <v>109.82509271262013</v>
      </c>
      <c r="N197" s="184">
        <f t="shared" si="107"/>
        <v>106.4198341248312</v>
      </c>
      <c r="O197" s="184">
        <f t="shared" si="107"/>
        <v>105.09573764963244</v>
      </c>
      <c r="P197" s="184">
        <f t="shared" si="107"/>
        <v>101.84647802205644</v>
      </c>
      <c r="Q197" s="184">
        <f t="shared" si="107"/>
        <v>98.188862211902162</v>
      </c>
      <c r="R197" s="184">
        <f t="shared" si="107"/>
        <v>0</v>
      </c>
    </row>
    <row r="198" spans="1:26" x14ac:dyDescent="0.25">
      <c r="C198" s="278"/>
      <c r="E198" s="7" t="s">
        <v>402</v>
      </c>
      <c r="G198" s="7" t="s">
        <v>235</v>
      </c>
      <c r="H198" s="185">
        <f xml:space="preserve"> SUM(J198:R198)</f>
        <v>13.575456216364856</v>
      </c>
      <c r="I198" s="185"/>
      <c r="J198" s="184">
        <f t="shared" ref="J198:K198" si="108">J197-J196</f>
        <v>0</v>
      </c>
      <c r="K198" s="184">
        <f t="shared" si="108"/>
        <v>0</v>
      </c>
      <c r="L198" s="184">
        <f>L197-L196</f>
        <v>0</v>
      </c>
      <c r="M198" s="185">
        <f>M197-M196</f>
        <v>-0.40342859853181778</v>
      </c>
      <c r="N198" s="184">
        <f t="shared" ref="N198:R198" si="109">N197-N196</f>
        <v>0.7868148921616438</v>
      </c>
      <c r="O198" s="184">
        <f t="shared" si="109"/>
        <v>3.7487161663268154</v>
      </c>
      <c r="P198" s="184">
        <f t="shared" si="109"/>
        <v>4.5884679881469737</v>
      </c>
      <c r="Q198" s="184">
        <f t="shared" si="109"/>
        <v>4.8548857682612407</v>
      </c>
      <c r="R198" s="184">
        <f t="shared" si="109"/>
        <v>0</v>
      </c>
    </row>
    <row r="200" spans="1:26" x14ac:dyDescent="0.25">
      <c r="E200" s="7" t="str">
        <f>E$190</f>
        <v>True up Nominal return- real</v>
      </c>
      <c r="F200" s="184">
        <f t="shared" ref="F200:R200" si="110">F$190</f>
        <v>0</v>
      </c>
      <c r="G200" s="7" t="str">
        <f t="shared" si="110"/>
        <v>£m</v>
      </c>
      <c r="H200" s="247">
        <f t="shared" si="110"/>
        <v>217.07873802825972</v>
      </c>
      <c r="I200" s="247">
        <f t="shared" si="110"/>
        <v>0</v>
      </c>
      <c r="J200" s="184">
        <f t="shared" si="110"/>
        <v>0</v>
      </c>
      <c r="K200" s="184">
        <f t="shared" si="110"/>
        <v>0</v>
      </c>
      <c r="L200" s="184">
        <f t="shared" si="110"/>
        <v>0</v>
      </c>
      <c r="M200" s="185">
        <f t="shared" si="110"/>
        <v>47.121391206464168</v>
      </c>
      <c r="N200" s="184">
        <f t="shared" si="110"/>
        <v>45.156868334756382</v>
      </c>
      <c r="O200" s="184">
        <f t="shared" si="110"/>
        <v>43.324654908907128</v>
      </c>
      <c r="P200" s="184">
        <f t="shared" si="110"/>
        <v>41.576650800144641</v>
      </c>
      <c r="Q200" s="184">
        <f t="shared" si="110"/>
        <v>39.899172777987381</v>
      </c>
      <c r="R200" s="184">
        <f t="shared" si="110"/>
        <v>0</v>
      </c>
    </row>
    <row r="201" spans="1:26" x14ac:dyDescent="0.25">
      <c r="E201" s="7" t="str">
        <f>E$193</f>
        <v>Nominal return company should have received- real</v>
      </c>
      <c r="F201" s="184">
        <f t="shared" ref="F201:R201" si="111">F$193</f>
        <v>0</v>
      </c>
      <c r="G201" s="7" t="str">
        <f t="shared" si="111"/>
        <v>£m</v>
      </c>
      <c r="H201" s="247">
        <f t="shared" si="111"/>
        <v>222.88208525244889</v>
      </c>
      <c r="I201" s="247">
        <f t="shared" si="111"/>
        <v>0</v>
      </c>
      <c r="J201" s="184">
        <f t="shared" si="111"/>
        <v>0</v>
      </c>
      <c r="K201" s="184">
        <f t="shared" si="111"/>
        <v>0</v>
      </c>
      <c r="L201" s="184">
        <f t="shared" si="111"/>
        <v>0</v>
      </c>
      <c r="M201" s="185">
        <f t="shared" si="111"/>
        <v>46.948930244553665</v>
      </c>
      <c r="N201" s="184">
        <f t="shared" si="111"/>
        <v>45.49322240990508</v>
      </c>
      <c r="O201" s="184">
        <f t="shared" si="111"/>
        <v>44.927186802597795</v>
      </c>
      <c r="P201" s="184">
        <f t="shared" si="111"/>
        <v>43.538166681297405</v>
      </c>
      <c r="Q201" s="184">
        <f t="shared" si="111"/>
        <v>41.974579114094951</v>
      </c>
      <c r="R201" s="184">
        <f t="shared" si="111"/>
        <v>0</v>
      </c>
    </row>
    <row r="202" spans="1:26" x14ac:dyDescent="0.25">
      <c r="C202" s="278"/>
      <c r="E202" s="7" t="s">
        <v>403</v>
      </c>
      <c r="G202" s="7" t="s">
        <v>235</v>
      </c>
      <c r="H202" s="185">
        <f xml:space="preserve"> SUM(J202:R202)</f>
        <v>5.8033472241891957</v>
      </c>
      <c r="I202" s="185"/>
      <c r="J202" s="184">
        <f t="shared" ref="J202:K202" si="112">J201-J200</f>
        <v>0</v>
      </c>
      <c r="K202" s="184">
        <f t="shared" si="112"/>
        <v>0</v>
      </c>
      <c r="L202" s="184">
        <f>L201-L200</f>
        <v>0</v>
      </c>
      <c r="M202" s="185">
        <f>M201-M200</f>
        <v>-0.17246096191050242</v>
      </c>
      <c r="N202" s="184">
        <f t="shared" ref="N202:R202" si="113">N201-N200</f>
        <v>0.33635407514869797</v>
      </c>
      <c r="O202" s="184">
        <f>O201-O200</f>
        <v>1.6025318936906672</v>
      </c>
      <c r="P202" s="184">
        <f t="shared" si="113"/>
        <v>1.9615158811527635</v>
      </c>
      <c r="Q202" s="184">
        <f t="shared" si="113"/>
        <v>2.0754063361075694</v>
      </c>
      <c r="R202" s="184">
        <f t="shared" si="113"/>
        <v>0</v>
      </c>
    </row>
    <row r="204" spans="1:26" x14ac:dyDescent="0.25">
      <c r="E204" s="7" t="str">
        <f>E$191</f>
        <v>Total True up Nominal revenue to company- real</v>
      </c>
      <c r="F204" s="184">
        <f t="shared" ref="F204:R204" si="114">F$191</f>
        <v>0</v>
      </c>
      <c r="G204" s="7" t="str">
        <f t="shared" si="114"/>
        <v>£m</v>
      </c>
      <c r="H204" s="247">
        <f t="shared" si="114"/>
        <v>724.87928653293716</v>
      </c>
      <c r="I204" s="247"/>
      <c r="J204" s="184">
        <f t="shared" si="114"/>
        <v>0</v>
      </c>
      <c r="K204" s="184">
        <f t="shared" si="114"/>
        <v>0</v>
      </c>
      <c r="L204" s="184">
        <f t="shared" si="114"/>
        <v>0</v>
      </c>
      <c r="M204" s="185">
        <f t="shared" si="114"/>
        <v>157.3499125176161</v>
      </c>
      <c r="N204" s="184">
        <f t="shared" si="114"/>
        <v>150.78988756742592</v>
      </c>
      <c r="O204" s="184">
        <f t="shared" si="114"/>
        <v>144.67167639221276</v>
      </c>
      <c r="P204" s="184">
        <f t="shared" si="114"/>
        <v>138.83466083405412</v>
      </c>
      <c r="Q204" s="184">
        <f t="shared" si="114"/>
        <v>133.23314922162831</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744.25808997349122</v>
      </c>
      <c r="I205" s="247"/>
      <c r="J205" s="184">
        <f t="shared" si="115"/>
        <v>0</v>
      </c>
      <c r="K205" s="184">
        <f t="shared" si="115"/>
        <v>0</v>
      </c>
      <c r="L205" s="184">
        <f t="shared" si="115"/>
        <v>0</v>
      </c>
      <c r="M205" s="185">
        <f t="shared" si="115"/>
        <v>156.7740229571738</v>
      </c>
      <c r="N205" s="184">
        <f t="shared" si="115"/>
        <v>151.91305653473628</v>
      </c>
      <c r="O205" s="184">
        <f t="shared" si="115"/>
        <v>150.02292445223023</v>
      </c>
      <c r="P205" s="184">
        <f t="shared" si="115"/>
        <v>145.38464470335384</v>
      </c>
      <c r="Q205" s="184">
        <f t="shared" si="115"/>
        <v>140.1634413259971</v>
      </c>
      <c r="R205" s="184">
        <f t="shared" si="115"/>
        <v>0</v>
      </c>
    </row>
    <row r="206" spans="1:26" x14ac:dyDescent="0.25">
      <c r="C206" s="278"/>
      <c r="E206" s="7" t="s">
        <v>404</v>
      </c>
      <c r="G206" s="7" t="s">
        <v>235</v>
      </c>
      <c r="H206" s="185">
        <f xml:space="preserve"> SUM(J206:R206)</f>
        <v>19.378803440554037</v>
      </c>
      <c r="I206" s="185"/>
      <c r="J206" s="184">
        <f t="shared" ref="J206:K206" si="116">J205-J204</f>
        <v>0</v>
      </c>
      <c r="K206" s="184">
        <f t="shared" si="116"/>
        <v>0</v>
      </c>
      <c r="L206" s="184">
        <f>L205-L204</f>
        <v>0</v>
      </c>
      <c r="M206" s="185">
        <f>M205-M204</f>
        <v>-0.57588956044230599</v>
      </c>
      <c r="N206" s="184">
        <f t="shared" ref="N206:R206" si="117">N205-N204</f>
        <v>1.1231689673103631</v>
      </c>
      <c r="O206" s="184">
        <f t="shared" si="117"/>
        <v>5.3512480600174683</v>
      </c>
      <c r="P206" s="184">
        <f t="shared" si="117"/>
        <v>6.549983869299723</v>
      </c>
      <c r="Q206" s="184">
        <f t="shared" si="117"/>
        <v>6.9302921043687888</v>
      </c>
      <c r="R206" s="184">
        <f t="shared" si="117"/>
        <v>0</v>
      </c>
    </row>
    <row r="208" spans="1:26" x14ac:dyDescent="0.25">
      <c r="B208" s="61" t="s">
        <v>405</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InpR!E$110</f>
        <v>WACC real on RCV - CPI(H) bf and additions - WWN</v>
      </c>
      <c r="F210" s="205">
        <f>InpR!F$110</f>
        <v>0</v>
      </c>
      <c r="G210" s="223" t="str">
        <f>InpR!G$110</f>
        <v>%</v>
      </c>
      <c r="H210" s="205" t="str">
        <f>InpR!I$110</f>
        <v>PR19 Financial model, 'Wastewater Network' sheet row 860</v>
      </c>
      <c r="I210" s="205" t="e">
        <f>InpR!#REF!</f>
        <v>#REF!</v>
      </c>
      <c r="J210" s="205">
        <f>InpR!J$110</f>
        <v>0</v>
      </c>
      <c r="K210" s="205">
        <f>InpR!K$110</f>
        <v>0</v>
      </c>
      <c r="L210" s="205">
        <f>InpR!L$110</f>
        <v>0</v>
      </c>
      <c r="M210" s="205">
        <f>InpR!M$110</f>
        <v>3.1200592500000068E-2</v>
      </c>
      <c r="N210" s="205">
        <f>InpR!N$110</f>
        <v>3.1200592500000068E-2</v>
      </c>
      <c r="O210" s="205">
        <f>InpR!O$110</f>
        <v>3.1200592500000068E-2</v>
      </c>
      <c r="P210" s="205">
        <f>InpR!P$110</f>
        <v>3.1200592500000068E-2</v>
      </c>
      <c r="Q210" s="205">
        <f>InpR!Q$110</f>
        <v>3.1200592500000068E-2</v>
      </c>
      <c r="R210" s="205">
        <f>InpR!R$110</f>
        <v>0</v>
      </c>
    </row>
    <row r="211" spans="1:18" x14ac:dyDescent="0.25">
      <c r="E211" s="7" t="s">
        <v>406</v>
      </c>
      <c r="G211" s="7" t="s">
        <v>407</v>
      </c>
      <c r="J211" s="255">
        <f xml:space="preserve"> (1 + J$210) ^ J$209</f>
        <v>1</v>
      </c>
      <c r="K211" s="255">
        <f t="shared" ref="K211:R211" si="118" xml:space="preserve"> (1 + K$210) ^ K$209</f>
        <v>1</v>
      </c>
      <c r="L211" s="255">
        <f t="shared" si="118"/>
        <v>1</v>
      </c>
      <c r="M211" s="255">
        <f t="shared" si="118"/>
        <v>1.1307656717248122</v>
      </c>
      <c r="N211" s="255">
        <f t="shared" si="118"/>
        <v>1.0965525814753758</v>
      </c>
      <c r="O211" s="255">
        <f t="shared" si="118"/>
        <v>1.0633746619723512</v>
      </c>
      <c r="P211" s="255">
        <f t="shared" si="118"/>
        <v>1.0312005925000001</v>
      </c>
      <c r="Q211" s="255">
        <f t="shared" si="118"/>
        <v>1</v>
      </c>
      <c r="R211" s="255">
        <f t="shared" si="118"/>
        <v>1</v>
      </c>
    </row>
    <row r="213" spans="1:18" x14ac:dyDescent="0.25">
      <c r="B213" s="61" t="s">
        <v>408</v>
      </c>
    </row>
    <row r="214" spans="1:18" x14ac:dyDescent="0.25">
      <c r="E214" s="7" t="str">
        <f>E$198</f>
        <v>Value of True up run-off - real</v>
      </c>
      <c r="F214" s="184">
        <f t="shared" ref="F214:R214" si="119">F$198</f>
        <v>0</v>
      </c>
      <c r="G214" s="7" t="str">
        <f t="shared" si="119"/>
        <v>£m</v>
      </c>
      <c r="H214" s="247">
        <f t="shared" si="119"/>
        <v>13.575456216364856</v>
      </c>
      <c r="I214" s="247">
        <f t="shared" si="119"/>
        <v>0</v>
      </c>
      <c r="J214" s="184">
        <f t="shared" si="119"/>
        <v>0</v>
      </c>
      <c r="K214" s="184">
        <f t="shared" si="119"/>
        <v>0</v>
      </c>
      <c r="L214" s="184">
        <f t="shared" si="119"/>
        <v>0</v>
      </c>
      <c r="M214" s="185">
        <f t="shared" si="119"/>
        <v>-0.40342859853181778</v>
      </c>
      <c r="N214" s="184">
        <f t="shared" si="119"/>
        <v>0.7868148921616438</v>
      </c>
      <c r="O214" s="184">
        <f t="shared" si="119"/>
        <v>3.7487161663268154</v>
      </c>
      <c r="P214" s="184">
        <f t="shared" si="119"/>
        <v>4.5884679881469737</v>
      </c>
      <c r="Q214" s="184">
        <f t="shared" si="119"/>
        <v>4.8548857682612407</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1.1307656717248122</v>
      </c>
      <c r="N215" s="184">
        <f t="shared" si="120"/>
        <v>1.0965525814753758</v>
      </c>
      <c r="O215" s="184">
        <f t="shared" si="120"/>
        <v>1.0633746619723512</v>
      </c>
      <c r="P215" s="184">
        <f t="shared" si="120"/>
        <v>1.0312005925000001</v>
      </c>
      <c r="Q215" s="184">
        <f t="shared" si="120"/>
        <v>1</v>
      </c>
      <c r="R215" s="184">
        <f t="shared" si="120"/>
        <v>1</v>
      </c>
    </row>
    <row r="216" spans="1:18" s="34" customFormat="1" x14ac:dyDescent="0.25">
      <c r="A216" s="265"/>
      <c r="B216" s="266"/>
      <c r="C216" s="267"/>
      <c r="D216" s="268"/>
      <c r="E216" s="34" t="s">
        <v>416</v>
      </c>
      <c r="G216" s="34" t="s">
        <v>235</v>
      </c>
      <c r="H216" s="271">
        <f xml:space="preserve"> SUM(J216:R216)</f>
        <v>13.979407153435037</v>
      </c>
      <c r="J216" s="271">
        <f xml:space="preserve"> J214 * J215</f>
        <v>0</v>
      </c>
      <c r="K216" s="271">
        <f t="shared" ref="K216:R216" si="121" xml:space="preserve"> K214 * K215</f>
        <v>0</v>
      </c>
      <c r="L216" s="271">
        <f t="shared" si="121"/>
        <v>0</v>
      </c>
      <c r="M216" s="277">
        <f t="shared" si="121"/>
        <v>-0.45618321021183056</v>
      </c>
      <c r="N216" s="271">
        <f t="shared" si="121"/>
        <v>0.86278390114311998</v>
      </c>
      <c r="O216" s="271">
        <f t="shared" si="121"/>
        <v>3.9862897861980655</v>
      </c>
      <c r="P216" s="271">
        <f t="shared" si="121"/>
        <v>4.7316309080444423</v>
      </c>
      <c r="Q216" s="271">
        <f t="shared" si="121"/>
        <v>4.8548857682612407</v>
      </c>
      <c r="R216" s="271">
        <f t="shared" si="121"/>
        <v>0</v>
      </c>
    </row>
    <row r="218" spans="1:18" x14ac:dyDescent="0.25">
      <c r="B218" s="61" t="s">
        <v>410</v>
      </c>
    </row>
    <row r="219" spans="1:18" x14ac:dyDescent="0.25">
      <c r="E219" s="7" t="str">
        <f>E202</f>
        <v>Value of True up return - real</v>
      </c>
      <c r="F219" s="184">
        <f t="shared" ref="F219:R219" si="122">F202</f>
        <v>0</v>
      </c>
      <c r="G219" s="7" t="str">
        <f t="shared" si="122"/>
        <v>£m</v>
      </c>
      <c r="H219" s="247">
        <f t="shared" si="122"/>
        <v>5.8033472241891957</v>
      </c>
      <c r="I219" s="247">
        <f t="shared" si="122"/>
        <v>0</v>
      </c>
      <c r="J219" s="184">
        <f t="shared" si="122"/>
        <v>0</v>
      </c>
      <c r="K219" s="184">
        <f t="shared" si="122"/>
        <v>0</v>
      </c>
      <c r="L219" s="184">
        <f t="shared" si="122"/>
        <v>0</v>
      </c>
      <c r="M219" s="185">
        <f t="shared" si="122"/>
        <v>-0.17246096191050242</v>
      </c>
      <c r="N219" s="184">
        <f t="shared" si="122"/>
        <v>0.33635407514869797</v>
      </c>
      <c r="O219" s="184">
        <f t="shared" si="122"/>
        <v>1.6025318936906672</v>
      </c>
      <c r="P219" s="184">
        <f t="shared" si="122"/>
        <v>1.9615158811527635</v>
      </c>
      <c r="Q219" s="184">
        <f t="shared" si="122"/>
        <v>2.0754063361075694</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1.1307656717248122</v>
      </c>
      <c r="N220" s="184">
        <f t="shared" si="123"/>
        <v>1.0965525814753758</v>
      </c>
      <c r="O220" s="184">
        <f t="shared" si="123"/>
        <v>1.0633746619723512</v>
      </c>
      <c r="P220" s="184">
        <f t="shared" si="123"/>
        <v>1.0312005925000001</v>
      </c>
      <c r="Q220" s="184">
        <f t="shared" si="123"/>
        <v>1</v>
      </c>
      <c r="R220" s="184">
        <f t="shared" si="123"/>
        <v>1</v>
      </c>
    </row>
    <row r="221" spans="1:18" s="34" customFormat="1" x14ac:dyDescent="0.25">
      <c r="A221" s="265"/>
      <c r="B221" s="266"/>
      <c r="C221" s="267"/>
      <c r="D221" s="268"/>
      <c r="E221" s="34" t="s">
        <v>417</v>
      </c>
      <c r="G221" s="34" t="s">
        <v>235</v>
      </c>
      <c r="H221" s="271">
        <f xml:space="preserve"> SUM(J221:R221)</f>
        <v>5.9760314796567142</v>
      </c>
      <c r="J221" s="271">
        <f xml:space="preserve"> J219 * J220</f>
        <v>0</v>
      </c>
      <c r="K221" s="271">
        <f t="shared" ref="K221:M221" si="124" xml:space="preserve"> K219 * K220</f>
        <v>0</v>
      </c>
      <c r="L221" s="271">
        <f t="shared" si="124"/>
        <v>0</v>
      </c>
      <c r="M221" s="277">
        <f t="shared" si="124"/>
        <v>-0.19501293544103654</v>
      </c>
      <c r="N221" s="271">
        <f xml:space="preserve"> N219 * N220</f>
        <v>0.36882992939406734</v>
      </c>
      <c r="O221" s="271">
        <f t="shared" ref="O221:R221" si="125" xml:space="preserve"> O219 * O220</f>
        <v>1.704091810753225</v>
      </c>
      <c r="P221" s="271">
        <f t="shared" si="125"/>
        <v>2.0227163388428893</v>
      </c>
      <c r="Q221" s="271">
        <f t="shared" si="125"/>
        <v>2.0754063361075694</v>
      </c>
      <c r="R221" s="271">
        <f t="shared" si="125"/>
        <v>0</v>
      </c>
    </row>
    <row r="223" spans="1:18" ht="12.9" x14ac:dyDescent="0.25">
      <c r="A223" s="10" t="s">
        <v>114</v>
      </c>
      <c r="B223" s="1"/>
      <c r="C223" s="1"/>
      <c r="D223" s="1"/>
      <c r="E223" s="1"/>
      <c r="F223" s="1"/>
      <c r="G223" s="1"/>
      <c r="H223" s="1"/>
      <c r="I223" s="1"/>
      <c r="J223" s="1"/>
      <c r="K223" s="1"/>
      <c r="L223" s="1"/>
      <c r="M223" s="1"/>
      <c r="N223" s="1"/>
      <c r="O223" s="1"/>
      <c r="P223" s="1"/>
      <c r="Q223" s="1"/>
      <c r="R223" s="1"/>
    </row>
  </sheetData>
  <conditionalFormatting sqref="J165:XFD165">
    <cfRule type="cellIs" dxfId="44" priority="6" stopIfTrue="1" operator="notEqual">
      <formula>0</formula>
    </cfRule>
    <cfRule type="cellIs" dxfId="43" priority="7" stopIfTrue="1" operator="equal">
      <formula>""</formula>
    </cfRule>
  </conditionalFormatting>
  <conditionalFormatting sqref="J3:Z3">
    <cfRule type="cellIs" dxfId="42" priority="8" operator="equal">
      <formula>"Post-Fcst"</formula>
    </cfRule>
    <cfRule type="cellIs" dxfId="41" priority="9" operator="equal">
      <formula>"Forecast"</formula>
    </cfRule>
    <cfRule type="cellIs" dxfId="40" priority="10" operator="equal">
      <formula>"Pre Fcst"</formula>
    </cfRule>
  </conditionalFormatting>
  <conditionalFormatting sqref="F2">
    <cfRule type="cellIs" dxfId="39" priority="4" stopIfTrue="1" operator="notEqual">
      <formula>0</formula>
    </cfRule>
    <cfRule type="cellIs" dxfId="38" priority="5" stopIfTrue="1" operator="equal">
      <formula>""</formula>
    </cfRule>
  </conditionalFormatting>
  <conditionalFormatting sqref="F165">
    <cfRule type="cellIs" dxfId="37" priority="2" stopIfTrue="1" operator="notEqual">
      <formula>0</formula>
    </cfRule>
    <cfRule type="cellIs" dxfId="36"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1" ma:contentTypeDescription="Create a new document." ma:contentTypeScope="" ma:versionID="1a8ec0e6231b1b99f4478da2c686116f">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c3401432e16723a085d22b864fc2e83e"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5e05205-f2e1-4168-9176-3cea1311c638" xsi:nil="true"/>
    <_ip_UnifiedCompliancePolicyUIAction xmlns="http://schemas.microsoft.com/sharepoint/v3" xsi:nil="true"/>
    <lcf76f155ced4ddcb4097134ff3c332f xmlns="2e9523b9-9c37-4c05-b1eb-7b6f416249bb">
      <Terms xmlns="http://schemas.microsoft.com/office/infopath/2007/PartnerControls"/>
    </lcf76f155ced4ddcb4097134ff3c332f>
    <_ip_UnifiedCompliancePolicyProperties xmlns="http://schemas.microsoft.com/sharepoint/v3" xsi:nil="true"/>
    <TEST xmlns="2e9523b9-9c37-4c05-b1eb-7b6f416249bb" xsi:nil="true"/>
    <Batch xmlns="2e9523b9-9c37-4c05-b1eb-7b6f416249b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F9ABF8-B727-478F-BE2D-C437A0FB1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9523b9-9c37-4c05-b1eb-7b6f416249bb"/>
    <ds:schemaRef ds:uri="05c3d349-d7b5-4b99-a759-edf8a89fca83"/>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15F2D5-2104-455F-98C7-B26412ABD4EE}">
  <ds:schemaRefs>
    <ds:schemaRef ds:uri="http://schemas.microsoft.com/office/infopath/2007/PartnerControls"/>
    <ds:schemaRef ds:uri="http://purl.org/dc/terms/"/>
    <ds:schemaRef ds:uri="http://purl.org/dc/dcmitype/"/>
    <ds:schemaRef ds:uri="http://www.w3.org/XML/1998/namespace"/>
    <ds:schemaRef ds:uri="http://schemas.microsoft.com/office/2006/documentManagement/types"/>
    <ds:schemaRef ds:uri="http://purl.org/dc/elements/1.1/"/>
    <ds:schemaRef ds:uri="http://schemas.microsoft.com/office/2006/metadata/properties"/>
    <ds:schemaRef ds:uri="75e05205-f2e1-4168-9176-3cea1311c638"/>
    <ds:schemaRef ds:uri="http://schemas.microsoft.com/sharepoint/v3"/>
    <ds:schemaRef ds:uri="http://schemas.openxmlformats.org/package/2006/metadata/core-properties"/>
    <ds:schemaRef ds:uri="2e9523b9-9c37-4c05-b1eb-7b6f416249bb"/>
    <ds:schemaRef ds:uri="05c3d349-d7b5-4b99-a759-edf8a89fca83"/>
  </ds:schemaRefs>
</ds:datastoreItem>
</file>

<file path=customXml/itemProps3.xml><?xml version="1.0" encoding="utf-8"?>
<ds:datastoreItem xmlns:ds="http://schemas.openxmlformats.org/officeDocument/2006/customXml" ds:itemID="{86F6DF6E-37A9-44B3-AE03-9A94CC7538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2023-09-29T13:16:08Z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0x01010056CA1FEDC0F04146B2629EDF721CF670</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y fmtid="{D5CDD505-2E9C-101B-9397-08002B2CF9AE}" pid="18" name="MediaServiceImageTags">
    <vt:lpwstr/>
  </property>
</Properties>
</file>