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fileSharing readOnlyRecommended="1"/>
  <workbookPr filterPrivacy="1" codeName="ThisWorkbook"/>
  <xr:revisionPtr revIDLastSave="0" documentId="8_{5A99C96B-1222-4127-AAEB-73BDE167F15E}" xr6:coauthVersionLast="47" xr6:coauthVersionMax="47" xr10:uidLastSave="{00000000-0000-0000-0000-000000000000}"/>
  <bookViews>
    <workbookView xWindow="-120" yWindow="-120" windowWidth="29040" windowHeight="15720" tabRatio="679" xr2:uid="{00000000-000D-0000-FFFF-FFFF00000000}"/>
  </bookViews>
  <sheets>
    <sheet name="Cover" sheetId="41" r:id="rId1"/>
    <sheet name="Style guide" sheetId="34" r:id="rId2"/>
    <sheet name="Validation" sheetId="22" r:id="rId3"/>
    <sheet name="ToC" sheetId="35" r:id="rId4"/>
    <sheet name="F_Inputs" sheetId="51" r:id="rId5"/>
    <sheet name="InpExpected" sheetId="48" r:id="rId6"/>
    <sheet name="InpCompany" sheetId="43" r:id="rId7"/>
    <sheet name="InpOfwat" sheetId="44" r:id="rId8"/>
    <sheet name="InpActive" sheetId="19" r:id="rId9"/>
    <sheet name="Time" sheetId="8" r:id="rId10"/>
    <sheet name="Index" sheetId="32" r:id="rId11"/>
    <sheet name="Abatements and deferrals" sheetId="24" r:id="rId12"/>
    <sheet name="Water resources" sheetId="29" r:id="rId13"/>
    <sheet name="Water network plus" sheetId="17" r:id="rId14"/>
    <sheet name="Wastewater network plus" sheetId="30" r:id="rId15"/>
    <sheet name="Bioresources (sludge)" sheetId="27" r:id="rId16"/>
    <sheet name="Residential retail" sheetId="26" r:id="rId17"/>
    <sheet name="Business retail" sheetId="25" r:id="rId18"/>
    <sheet name="Additional control 1" sheetId="31" r:id="rId19"/>
    <sheet name="Additional control 2" sheetId="53" r:id="rId20"/>
    <sheet name="Outputs" sheetId="16" r:id="rId21"/>
    <sheet name="F_Outputs" sheetId="47" r:id="rId22"/>
    <sheet name="F_Outputs_Co view" sheetId="52" r:id="rId2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257</definedName>
    <definedName name="_AtRisk_SimSetting_ReportOptionReportsFileType" hidden="1">1</definedName>
    <definedName name="_AtRisk_SimSetting_ReportOptionSelectiveQR" hidden="1">FALSE</definedName>
    <definedName name="_AtRisk_SimSetting_ReportsList" hidden="1">257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F" hidden="1">{"bal",#N/A,FALSE,"working papers";"income",#N/A,FALSE,"working papers"}</definedName>
    <definedName name="fdraf" hidden="1">{"bal",#N/A,FALSE,"working papers";"income",#N/A,FALSE,"working papers"}</definedName>
    <definedName name="Fdraft" hidden="1">{"bal",#N/A,FALSE,"working papers";"income",#N/A,FALSE,"working papers"}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80019595006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41366.3748958333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revision" hidden="1">1</definedName>
    <definedName name="SAPBEXsysID" hidden="1">"BWB"</definedName>
    <definedName name="SAPBEXwbID" hidden="1">"49ZLUKBQR0WG29D9LLI3IBIIT"</definedName>
    <definedName name="wrn.papersdraft" hidden="1">{"bal",#N/A,FALSE,"working papers";"income",#N/A,FALSE,"working papers"}</definedName>
    <definedName name="wrn.wpapers." hidden="1">{"bal",#N/A,FALSE,"working papers";"income",#N/A,FALSE,"working papers"}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52" l="1"/>
  <c r="C7" i="52"/>
  <c r="A34" i="43"/>
  <c r="B7" i="52" s="1"/>
  <c r="A34" i="48"/>
  <c r="F34" i="48" s="1"/>
  <c r="E21" i="24" l="1"/>
  <c r="F34" i="19"/>
  <c r="F21" i="24" s="1"/>
  <c r="F86" i="48" l="1"/>
  <c r="A22" i="43" l="1"/>
  <c r="A23" i="43"/>
  <c r="A24" i="43"/>
  <c r="A25" i="43"/>
  <c r="A26" i="43"/>
  <c r="A27" i="43"/>
  <c r="A28" i="43"/>
  <c r="A29" i="43"/>
  <c r="A22" i="48"/>
  <c r="A23" i="48"/>
  <c r="A24" i="48"/>
  <c r="A25" i="48"/>
  <c r="A26" i="48"/>
  <c r="A27" i="48"/>
  <c r="A28" i="48"/>
  <c r="A29" i="48"/>
  <c r="S63" i="52" l="1"/>
  <c r="R63" i="52"/>
  <c r="Q63" i="52"/>
  <c r="P63" i="52"/>
  <c r="O63" i="52"/>
  <c r="N62" i="52"/>
  <c r="N60" i="52"/>
  <c r="N49" i="52"/>
  <c r="N47" i="52"/>
  <c r="N45" i="52"/>
  <c r="N39" i="52"/>
  <c r="C39" i="52"/>
  <c r="N31" i="52"/>
  <c r="C31" i="52"/>
  <c r="N23" i="52"/>
  <c r="C23" i="52"/>
  <c r="N15" i="52"/>
  <c r="C15" i="52"/>
  <c r="C63" i="52"/>
  <c r="C62" i="52"/>
  <c r="E43" i="16"/>
  <c r="I43" i="16"/>
  <c r="H43" i="16"/>
  <c r="I14" i="16"/>
  <c r="H14" i="16"/>
  <c r="G14" i="16"/>
  <c r="F14" i="16"/>
  <c r="E14" i="16"/>
  <c r="S27" i="53"/>
  <c r="S28" i="53" s="1"/>
  <c r="R27" i="53"/>
  <c r="R28" i="53" s="1"/>
  <c r="Q27" i="53"/>
  <c r="Q28" i="53" s="1"/>
  <c r="P27" i="53"/>
  <c r="P28" i="53" s="1"/>
  <c r="O27" i="53"/>
  <c r="O28" i="53" s="1"/>
  <c r="N27" i="53"/>
  <c r="N28" i="53" s="1"/>
  <c r="M27" i="53"/>
  <c r="M28" i="53" s="1"/>
  <c r="L27" i="53"/>
  <c r="L28" i="53" s="1"/>
  <c r="K27" i="53"/>
  <c r="J27" i="53"/>
  <c r="I27" i="53"/>
  <c r="H27" i="53"/>
  <c r="G24" i="53"/>
  <c r="G27" i="53"/>
  <c r="F27" i="53"/>
  <c r="E27" i="53"/>
  <c r="X24" i="53"/>
  <c r="W24" i="53"/>
  <c r="V24" i="53"/>
  <c r="U24" i="53"/>
  <c r="T24" i="53"/>
  <c r="R24" i="53"/>
  <c r="Q24" i="53"/>
  <c r="P24" i="53"/>
  <c r="O24" i="53"/>
  <c r="N24" i="53"/>
  <c r="M24" i="53"/>
  <c r="L24" i="53"/>
  <c r="K24" i="53"/>
  <c r="J24" i="53"/>
  <c r="I24" i="53"/>
  <c r="H24" i="53"/>
  <c r="F24" i="53"/>
  <c r="E24" i="53"/>
  <c r="E25" i="53" s="1"/>
  <c r="E10" i="53"/>
  <c r="E20" i="53" s="1"/>
  <c r="E33" i="53" s="1"/>
  <c r="I10" i="53"/>
  <c r="H10" i="53"/>
  <c r="E130" i="24"/>
  <c r="E78" i="24"/>
  <c r="E54" i="24"/>
  <c r="E32" i="24"/>
  <c r="E16" i="24"/>
  <c r="A80" i="43"/>
  <c r="B39" i="52" s="1"/>
  <c r="A68" i="43"/>
  <c r="B31" i="52" s="1"/>
  <c r="A58" i="43"/>
  <c r="B23" i="52" s="1"/>
  <c r="A45" i="43"/>
  <c r="B15" i="52" s="1"/>
  <c r="A148" i="43"/>
  <c r="B63" i="52" s="1"/>
  <c r="A147" i="43"/>
  <c r="B62" i="52" s="1"/>
  <c r="A80" i="48"/>
  <c r="A68" i="48"/>
  <c r="A58" i="48"/>
  <c r="A45" i="48"/>
  <c r="X148" i="48"/>
  <c r="X148" i="19" s="1"/>
  <c r="W148" i="48"/>
  <c r="W148" i="19" s="1"/>
  <c r="V148" i="48"/>
  <c r="V148" i="19" s="1"/>
  <c r="U148" i="48"/>
  <c r="U148" i="19" s="1"/>
  <c r="T148" i="48"/>
  <c r="T148" i="19" s="1"/>
  <c r="A148" i="48"/>
  <c r="S147" i="48"/>
  <c r="S147" i="19" s="1"/>
  <c r="S24" i="53" s="1"/>
  <c r="A147" i="48"/>
  <c r="I65" i="53"/>
  <c r="H65" i="53"/>
  <c r="G65" i="53"/>
  <c r="F65" i="53"/>
  <c r="E65" i="53"/>
  <c r="I62" i="53"/>
  <c r="H62" i="53"/>
  <c r="G62" i="53"/>
  <c r="F62" i="53"/>
  <c r="E62" i="53"/>
  <c r="I61" i="53"/>
  <c r="H61" i="53"/>
  <c r="G61" i="53"/>
  <c r="F61" i="53"/>
  <c r="E61" i="53"/>
  <c r="I60" i="53"/>
  <c r="H60" i="53"/>
  <c r="G60" i="53"/>
  <c r="F60" i="53"/>
  <c r="E60" i="53"/>
  <c r="I57" i="53"/>
  <c r="H57" i="53"/>
  <c r="G57" i="53"/>
  <c r="F57" i="53"/>
  <c r="E57" i="53"/>
  <c r="I54" i="53"/>
  <c r="J55" i="53" s="1"/>
  <c r="J60" i="53" s="1"/>
  <c r="G54" i="53"/>
  <c r="F54" i="53"/>
  <c r="E54" i="53"/>
  <c r="I50" i="53"/>
  <c r="G50" i="53"/>
  <c r="F50" i="53"/>
  <c r="E50" i="53"/>
  <c r="I49" i="53"/>
  <c r="H49" i="53"/>
  <c r="G49" i="53"/>
  <c r="F49" i="53"/>
  <c r="E49" i="53"/>
  <c r="I46" i="53"/>
  <c r="G46" i="53"/>
  <c r="F46" i="53"/>
  <c r="E46" i="53"/>
  <c r="I45" i="53"/>
  <c r="G45" i="53"/>
  <c r="F45" i="53"/>
  <c r="E45" i="53"/>
  <c r="I42" i="53"/>
  <c r="H42" i="53"/>
  <c r="G42" i="53"/>
  <c r="F42" i="53"/>
  <c r="E42" i="53"/>
  <c r="I41" i="53"/>
  <c r="G41" i="53"/>
  <c r="F41" i="53"/>
  <c r="E41" i="53"/>
  <c r="P38" i="53"/>
  <c r="P39" i="53" s="1"/>
  <c r="P42" i="53" s="1"/>
  <c r="O38" i="53"/>
  <c r="O39" i="53" s="1"/>
  <c r="O42" i="53" s="1"/>
  <c r="N38" i="53"/>
  <c r="N39" i="53" s="1"/>
  <c r="N42" i="53" s="1"/>
  <c r="M38" i="53"/>
  <c r="M39" i="53" s="1"/>
  <c r="M42" i="53" s="1"/>
  <c r="L38" i="53"/>
  <c r="L39" i="53" s="1"/>
  <c r="L42" i="53" s="1"/>
  <c r="K38" i="53"/>
  <c r="K39" i="53" s="1"/>
  <c r="K42" i="53" s="1"/>
  <c r="J38" i="53"/>
  <c r="J39" i="53" s="1"/>
  <c r="J42" i="53" s="1"/>
  <c r="I38" i="53"/>
  <c r="H38" i="53"/>
  <c r="G38" i="53"/>
  <c r="F38" i="53"/>
  <c r="E38" i="53"/>
  <c r="I34" i="53"/>
  <c r="H34" i="53"/>
  <c r="G34" i="53"/>
  <c r="F34" i="53"/>
  <c r="E34" i="53"/>
  <c r="I33" i="53"/>
  <c r="H33" i="53"/>
  <c r="F33" i="53"/>
  <c r="I29" i="53"/>
  <c r="H29" i="53"/>
  <c r="G29" i="53"/>
  <c r="F29" i="53"/>
  <c r="E29" i="53"/>
  <c r="K28" i="53"/>
  <c r="J28" i="53"/>
  <c r="G26" i="53"/>
  <c r="E26" i="53"/>
  <c r="K18" i="53"/>
  <c r="K20" i="53" s="1"/>
  <c r="K33" i="53" s="1"/>
  <c r="J18" i="53"/>
  <c r="J20" i="53" s="1"/>
  <c r="J33" i="53" s="1"/>
  <c r="I16" i="53"/>
  <c r="H16" i="53"/>
  <c r="G16" i="53"/>
  <c r="F16" i="53"/>
  <c r="E16" i="53"/>
  <c r="G14" i="53"/>
  <c r="E14" i="53"/>
  <c r="E5" i="53"/>
  <c r="E4" i="53"/>
  <c r="E3" i="53"/>
  <c r="E2" i="53"/>
  <c r="A1" i="53"/>
  <c r="V27" i="53" l="1"/>
  <c r="W27" i="53"/>
  <c r="X27" i="53"/>
  <c r="T27" i="53"/>
  <c r="U27" i="53"/>
  <c r="J57" i="53"/>
  <c r="K57" i="53"/>
  <c r="S143" i="48" l="1"/>
  <c r="S122" i="48"/>
  <c r="S118" i="48"/>
  <c r="S114" i="48"/>
  <c r="T133" i="48" l="1"/>
  <c r="A129" i="48" l="1"/>
  <c r="F29" i="48" l="1"/>
  <c r="F29" i="19" s="1"/>
  <c r="F16" i="24" s="1"/>
  <c r="F58" i="48"/>
  <c r="F58" i="19" s="1"/>
  <c r="F54" i="24" s="1"/>
  <c r="F80" i="48"/>
  <c r="F80" i="19" s="1"/>
  <c r="F130" i="24" s="1"/>
  <c r="F45" i="48"/>
  <c r="F45" i="19" s="1"/>
  <c r="F32" i="24" s="1"/>
  <c r="F68" i="48"/>
  <c r="F68" i="19" s="1"/>
  <c r="F78" i="24" s="1"/>
  <c r="A134" i="48"/>
  <c r="A133" i="48"/>
  <c r="A130" i="48"/>
  <c r="F42" i="24" l="1"/>
  <c r="F64" i="24" s="1"/>
  <c r="F88" i="24" s="1"/>
  <c r="E18" i="32"/>
  <c r="G18" i="32"/>
  <c r="F109" i="48"/>
  <c r="F109" i="19" s="1"/>
  <c r="F18" i="32" s="1"/>
  <c r="G19" i="32"/>
  <c r="E19" i="32"/>
  <c r="A1" i="43"/>
  <c r="C59" i="52"/>
  <c r="C58" i="52"/>
  <c r="C57" i="52"/>
  <c r="C56" i="52"/>
  <c r="C55" i="52"/>
  <c r="C54" i="52"/>
  <c r="C53" i="52"/>
  <c r="S59" i="52"/>
  <c r="R59" i="52"/>
  <c r="Q59" i="52"/>
  <c r="P59" i="52"/>
  <c r="S58" i="52"/>
  <c r="R58" i="52"/>
  <c r="Q58" i="52"/>
  <c r="P58" i="52"/>
  <c r="S57" i="52"/>
  <c r="R57" i="52"/>
  <c r="Q57" i="52"/>
  <c r="P57" i="52"/>
  <c r="S56" i="52"/>
  <c r="R56" i="52"/>
  <c r="Q56" i="52"/>
  <c r="P56" i="52"/>
  <c r="S55" i="52"/>
  <c r="R55" i="52"/>
  <c r="Q55" i="52"/>
  <c r="P55" i="52"/>
  <c r="S54" i="52"/>
  <c r="R54" i="52"/>
  <c r="Q54" i="52"/>
  <c r="P54" i="52"/>
  <c r="O59" i="52"/>
  <c r="O58" i="52"/>
  <c r="O57" i="52"/>
  <c r="O56" i="52"/>
  <c r="O55" i="52"/>
  <c r="O54" i="52"/>
  <c r="A140" i="43" l="1"/>
  <c r="B59" i="52" s="1"/>
  <c r="A139" i="43"/>
  <c r="B58" i="52" s="1"/>
  <c r="A137" i="43"/>
  <c r="B57" i="52" s="1"/>
  <c r="A136" i="43"/>
  <c r="B56" i="52" s="1"/>
  <c r="A134" i="43"/>
  <c r="B55" i="52" s="1"/>
  <c r="A133" i="43"/>
  <c r="B54" i="52" s="1"/>
  <c r="S53" i="52"/>
  <c r="R53" i="52"/>
  <c r="Q53" i="52"/>
  <c r="P53" i="52"/>
  <c r="O53" i="52"/>
  <c r="A130" i="43"/>
  <c r="B53" i="52" s="1"/>
  <c r="A129" i="43"/>
  <c r="F10" i="48"/>
  <c r="U130" i="48"/>
  <c r="V130" i="48"/>
  <c r="W130" i="48"/>
  <c r="X130" i="48"/>
  <c r="T130" i="48"/>
  <c r="U126" i="48"/>
  <c r="V126" i="48"/>
  <c r="W126" i="48"/>
  <c r="X126" i="48"/>
  <c r="T126" i="48"/>
  <c r="U129" i="48"/>
  <c r="V129" i="48"/>
  <c r="W129" i="48"/>
  <c r="X129" i="48"/>
  <c r="T129" i="48"/>
  <c r="E43" i="26"/>
  <c r="F43" i="26"/>
  <c r="G43" i="26"/>
  <c r="H43" i="26"/>
  <c r="I43" i="26"/>
  <c r="J43" i="26"/>
  <c r="K43" i="26"/>
  <c r="L43" i="26"/>
  <c r="M43" i="26"/>
  <c r="N43" i="26"/>
  <c r="O43" i="26"/>
  <c r="P43" i="26"/>
  <c r="Q43" i="26"/>
  <c r="R43" i="26"/>
  <c r="S43" i="26"/>
  <c r="I48" i="26"/>
  <c r="H48" i="26"/>
  <c r="G48" i="26"/>
  <c r="F48" i="26"/>
  <c r="E48" i="26"/>
  <c r="G41" i="26"/>
  <c r="E41" i="26"/>
  <c r="F41" i="26"/>
  <c r="I42" i="26"/>
  <c r="G42" i="26"/>
  <c r="F42" i="26"/>
  <c r="E42" i="26"/>
  <c r="G55" i="27"/>
  <c r="E55" i="27"/>
  <c r="G47" i="27"/>
  <c r="E47" i="27"/>
  <c r="E56" i="27"/>
  <c r="F56" i="27"/>
  <c r="H56" i="27"/>
  <c r="I56" i="27"/>
  <c r="I51" i="27"/>
  <c r="H51" i="27"/>
  <c r="G51" i="27"/>
  <c r="F51" i="27"/>
  <c r="E51" i="27"/>
  <c r="S48" i="27"/>
  <c r="R48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U133" i="48"/>
  <c r="V133" i="48"/>
  <c r="W133" i="48"/>
  <c r="X133" i="48"/>
  <c r="T134" i="48"/>
  <c r="U134" i="48"/>
  <c r="V134" i="48"/>
  <c r="W134" i="48"/>
  <c r="X134" i="48"/>
  <c r="T136" i="48"/>
  <c r="U136" i="48"/>
  <c r="V136" i="48"/>
  <c r="E23" i="16"/>
  <c r="F23" i="16"/>
  <c r="G23" i="16"/>
  <c r="H23" i="16"/>
  <c r="I23" i="16"/>
  <c r="E24" i="16"/>
  <c r="F24" i="16"/>
  <c r="G24" i="16"/>
  <c r="H24" i="16"/>
  <c r="I24" i="16"/>
  <c r="F60" i="25"/>
  <c r="G60" i="25"/>
  <c r="H60" i="25"/>
  <c r="I60" i="25"/>
  <c r="F61" i="25"/>
  <c r="G61" i="25"/>
  <c r="H61" i="25"/>
  <c r="I61" i="25"/>
  <c r="F58" i="25"/>
  <c r="G58" i="25"/>
  <c r="H58" i="25"/>
  <c r="I58" i="25"/>
  <c r="J58" i="25"/>
  <c r="K58" i="25"/>
  <c r="L58" i="25"/>
  <c r="M58" i="25"/>
  <c r="N58" i="25"/>
  <c r="O58" i="25"/>
  <c r="P58" i="25"/>
  <c r="Q58" i="25"/>
  <c r="R58" i="25"/>
  <c r="S58" i="25"/>
  <c r="F59" i="25"/>
  <c r="G59" i="25"/>
  <c r="H59" i="25"/>
  <c r="I59" i="25"/>
  <c r="J59" i="25"/>
  <c r="K59" i="25"/>
  <c r="L59" i="25"/>
  <c r="M59" i="25"/>
  <c r="N59" i="25"/>
  <c r="O59" i="25"/>
  <c r="P59" i="25"/>
  <c r="Q59" i="25"/>
  <c r="R59" i="25"/>
  <c r="S59" i="25"/>
  <c r="E60" i="25"/>
  <c r="E61" i="25"/>
  <c r="E49" i="25"/>
  <c r="F49" i="25"/>
  <c r="G49" i="25"/>
  <c r="E52" i="25"/>
  <c r="F52" i="25"/>
  <c r="H52" i="25"/>
  <c r="I52" i="25"/>
  <c r="E53" i="25"/>
  <c r="F53" i="25"/>
  <c r="H53" i="25"/>
  <c r="I53" i="25"/>
  <c r="E50" i="25"/>
  <c r="F50" i="25"/>
  <c r="G50" i="25"/>
  <c r="H50" i="25"/>
  <c r="I50" i="25"/>
  <c r="J50" i="25"/>
  <c r="K50" i="25"/>
  <c r="L50" i="25"/>
  <c r="M50" i="25"/>
  <c r="N50" i="25"/>
  <c r="O50" i="25"/>
  <c r="P50" i="25"/>
  <c r="Q50" i="25"/>
  <c r="R50" i="25"/>
  <c r="S50" i="25"/>
  <c r="E51" i="25"/>
  <c r="F51" i="25"/>
  <c r="G51" i="25"/>
  <c r="H51" i="25"/>
  <c r="I51" i="25"/>
  <c r="J51" i="25"/>
  <c r="K51" i="25"/>
  <c r="L51" i="25"/>
  <c r="M51" i="25"/>
  <c r="N51" i="25"/>
  <c r="O51" i="25"/>
  <c r="P51" i="25"/>
  <c r="Q51" i="25"/>
  <c r="R51" i="25"/>
  <c r="S51" i="25"/>
  <c r="S44" i="25"/>
  <c r="R44" i="25"/>
  <c r="Q44" i="25"/>
  <c r="P44" i="25"/>
  <c r="O44" i="25"/>
  <c r="N44" i="25"/>
  <c r="M44" i="25"/>
  <c r="L44" i="25"/>
  <c r="K44" i="25"/>
  <c r="J44" i="25"/>
  <c r="I44" i="25"/>
  <c r="H44" i="25"/>
  <c r="G44" i="25"/>
  <c r="F44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E44" i="25"/>
  <c r="X144" i="48"/>
  <c r="W144" i="48"/>
  <c r="V144" i="48"/>
  <c r="U144" i="48"/>
  <c r="T144" i="48"/>
  <c r="X123" i="48"/>
  <c r="W123" i="48"/>
  <c r="V123" i="48"/>
  <c r="U123" i="48"/>
  <c r="T123" i="48"/>
  <c r="X119" i="48"/>
  <c r="W119" i="48"/>
  <c r="V119" i="48"/>
  <c r="U119" i="48"/>
  <c r="T119" i="48"/>
  <c r="X115" i="48"/>
  <c r="W115" i="48"/>
  <c r="V115" i="48"/>
  <c r="U115" i="48"/>
  <c r="T115" i="48"/>
  <c r="F140" i="24" l="1"/>
  <c r="F152" i="24" s="1"/>
  <c r="X130" i="19"/>
  <c r="X43" i="26" s="1"/>
  <c r="W130" i="19"/>
  <c r="W43" i="26" s="1"/>
  <c r="W133" i="19"/>
  <c r="W43" i="25" s="1"/>
  <c r="T133" i="19"/>
  <c r="T43" i="25" s="1"/>
  <c r="T134" i="19"/>
  <c r="T44" i="25" s="1"/>
  <c r="T130" i="19"/>
  <c r="T43" i="26" s="1"/>
  <c r="X133" i="19"/>
  <c r="X43" i="25" s="1"/>
  <c r="V133" i="19"/>
  <c r="V43" i="25" s="1"/>
  <c r="U133" i="19"/>
  <c r="U43" i="25" s="1"/>
  <c r="U130" i="19"/>
  <c r="U43" i="26" s="1"/>
  <c r="X134" i="19"/>
  <c r="X44" i="25" s="1"/>
  <c r="W134" i="19"/>
  <c r="W44" i="25" s="1"/>
  <c r="V134" i="19"/>
  <c r="V44" i="25" s="1"/>
  <c r="U134" i="19"/>
  <c r="U44" i="25" s="1"/>
  <c r="M32" i="47"/>
  <c r="N32" i="47"/>
  <c r="O32" i="47"/>
  <c r="M33" i="47"/>
  <c r="N33" i="47"/>
  <c r="O33" i="47"/>
  <c r="F10" i="53" l="1"/>
  <c r="V130" i="19"/>
  <c r="V43" i="26" s="1"/>
  <c r="F10" i="43"/>
  <c r="U139" i="48" l="1"/>
  <c r="V139" i="48"/>
  <c r="W139" i="48"/>
  <c r="X139" i="48"/>
  <c r="U140" i="48"/>
  <c r="V140" i="48"/>
  <c r="W140" i="48"/>
  <c r="X140" i="48"/>
  <c r="W136" i="48"/>
  <c r="X136" i="48"/>
  <c r="U137" i="48"/>
  <c r="V137" i="48"/>
  <c r="W137" i="48"/>
  <c r="X137" i="48"/>
  <c r="T139" i="48"/>
  <c r="T140" i="48"/>
  <c r="T137" i="48"/>
  <c r="G139" i="48"/>
  <c r="G140" i="48"/>
  <c r="G136" i="48"/>
  <c r="G137" i="48"/>
  <c r="E139" i="48"/>
  <c r="E140" i="48"/>
  <c r="E136" i="48"/>
  <c r="E137" i="48"/>
  <c r="A139" i="48"/>
  <c r="A140" i="48"/>
  <c r="A136" i="48"/>
  <c r="A137" i="48"/>
  <c r="X137" i="19" l="1"/>
  <c r="X51" i="25" s="1"/>
  <c r="W137" i="19"/>
  <c r="W51" i="25" s="1"/>
  <c r="U137" i="19"/>
  <c r="U51" i="25" s="1"/>
  <c r="U140" i="19"/>
  <c r="T136" i="19"/>
  <c r="T50" i="25" s="1"/>
  <c r="X136" i="19"/>
  <c r="X50" i="25" s="1"/>
  <c r="X139" i="19"/>
  <c r="W136" i="19"/>
  <c r="W50" i="25" s="1"/>
  <c r="W139" i="19"/>
  <c r="X140" i="19"/>
  <c r="V136" i="19"/>
  <c r="V50" i="25" s="1"/>
  <c r="V139" i="19"/>
  <c r="W140" i="19"/>
  <c r="V137" i="19"/>
  <c r="V51" i="25" s="1"/>
  <c r="T137" i="19"/>
  <c r="T51" i="25" s="1"/>
  <c r="T139" i="19"/>
  <c r="U136" i="19"/>
  <c r="U50" i="25" s="1"/>
  <c r="U139" i="19"/>
  <c r="V140" i="19"/>
  <c r="T140" i="19"/>
  <c r="A92" i="48"/>
  <c r="S61" i="52"/>
  <c r="R61" i="52"/>
  <c r="Q61" i="52"/>
  <c r="P61" i="52"/>
  <c r="S52" i="52"/>
  <c r="R52" i="52"/>
  <c r="Q52" i="52"/>
  <c r="P52" i="52"/>
  <c r="S51" i="52"/>
  <c r="R51" i="52"/>
  <c r="Q51" i="52"/>
  <c r="P51" i="52"/>
  <c r="O51" i="52"/>
  <c r="S50" i="52"/>
  <c r="R50" i="52"/>
  <c r="Q50" i="52"/>
  <c r="P50" i="52"/>
  <c r="O50" i="52"/>
  <c r="S48" i="52"/>
  <c r="R48" i="52"/>
  <c r="Q48" i="52"/>
  <c r="P48" i="52"/>
  <c r="O48" i="52"/>
  <c r="S46" i="52"/>
  <c r="R46" i="52"/>
  <c r="Q46" i="52"/>
  <c r="P46" i="52"/>
  <c r="O46" i="52"/>
  <c r="A144" i="43"/>
  <c r="A143" i="43"/>
  <c r="A126" i="43"/>
  <c r="A123" i="43"/>
  <c r="A122" i="43"/>
  <c r="A119" i="43"/>
  <c r="A118" i="43"/>
  <c r="A115" i="43"/>
  <c r="A114" i="43"/>
  <c r="R90" i="48"/>
  <c r="T58" i="25" l="1"/>
  <c r="U59" i="25"/>
  <c r="V58" i="25"/>
  <c r="X59" i="25"/>
  <c r="W58" i="25"/>
  <c r="T59" i="25"/>
  <c r="V59" i="25"/>
  <c r="X58" i="25"/>
  <c r="U58" i="25"/>
  <c r="W59" i="25"/>
  <c r="S114" i="19"/>
  <c r="O52" i="52"/>
  <c r="A92" i="43"/>
  <c r="N92" i="43"/>
  <c r="M92" i="43"/>
  <c r="L92" i="43"/>
  <c r="S44" i="52"/>
  <c r="R44" i="52"/>
  <c r="Q44" i="52"/>
  <c r="P44" i="52"/>
  <c r="O44" i="52"/>
  <c r="R92" i="43"/>
  <c r="Q92" i="43"/>
  <c r="P92" i="43"/>
  <c r="O92" i="43"/>
  <c r="S43" i="52"/>
  <c r="R43" i="52"/>
  <c r="Q43" i="52"/>
  <c r="P43" i="52"/>
  <c r="O43" i="52"/>
  <c r="A90" i="43"/>
  <c r="A88" i="43"/>
  <c r="A87" i="43"/>
  <c r="A86" i="43"/>
  <c r="A74" i="43"/>
  <c r="A75" i="43"/>
  <c r="A76" i="43"/>
  <c r="A77" i="43"/>
  <c r="A78" i="43"/>
  <c r="A79" i="43"/>
  <c r="A73" i="43"/>
  <c r="A62" i="43"/>
  <c r="A63" i="43"/>
  <c r="A64" i="43"/>
  <c r="A65" i="43"/>
  <c r="A66" i="43"/>
  <c r="A67" i="43"/>
  <c r="A61" i="43"/>
  <c r="A52" i="43"/>
  <c r="A53" i="43"/>
  <c r="A54" i="43"/>
  <c r="A55" i="43"/>
  <c r="A56" i="43"/>
  <c r="A57" i="43"/>
  <c r="A51" i="43"/>
  <c r="A39" i="43"/>
  <c r="A40" i="43"/>
  <c r="A41" i="43"/>
  <c r="A42" i="43"/>
  <c r="A43" i="43"/>
  <c r="A44" i="43"/>
  <c r="A38" i="43"/>
  <c r="A35" i="43"/>
  <c r="A33" i="43"/>
  <c r="A32" i="43"/>
  <c r="X92" i="48"/>
  <c r="X92" i="19" s="1"/>
  <c r="W92" i="48"/>
  <c r="W92" i="19" s="1"/>
  <c r="V92" i="48"/>
  <c r="V92" i="19" s="1"/>
  <c r="X90" i="48"/>
  <c r="X90" i="19" s="1"/>
  <c r="X38" i="53" s="1"/>
  <c r="X39" i="53" s="1"/>
  <c r="X42" i="53" s="1"/>
  <c r="W90" i="48"/>
  <c r="W90" i="19" s="1"/>
  <c r="W38" i="53" s="1"/>
  <c r="W39" i="53" s="1"/>
  <c r="W42" i="53" s="1"/>
  <c r="V90" i="48"/>
  <c r="V90" i="19" s="1"/>
  <c r="V38" i="53" s="1"/>
  <c r="V39" i="53" s="1"/>
  <c r="V42" i="53" s="1"/>
  <c r="A87" i="48"/>
  <c r="A126" i="48"/>
  <c r="A122" i="48"/>
  <c r="A118" i="48"/>
  <c r="A114" i="48"/>
  <c r="A143" i="48"/>
  <c r="A144" i="48"/>
  <c r="A123" i="48"/>
  <c r="A119" i="48"/>
  <c r="A115" i="48"/>
  <c r="F106" i="48"/>
  <c r="F105" i="48"/>
  <c r="F104" i="48"/>
  <c r="F103" i="48"/>
  <c r="F102" i="48"/>
  <c r="F101" i="48"/>
  <c r="F100" i="48"/>
  <c r="F99" i="48"/>
  <c r="F98" i="48"/>
  <c r="F97" i="48"/>
  <c r="F96" i="48"/>
  <c r="F95" i="48"/>
  <c r="A96" i="48"/>
  <c r="A97" i="48"/>
  <c r="A98" i="48"/>
  <c r="A99" i="48"/>
  <c r="A100" i="48"/>
  <c r="A101" i="48"/>
  <c r="A102" i="48"/>
  <c r="A103" i="48"/>
  <c r="A104" i="48"/>
  <c r="A105" i="48"/>
  <c r="A106" i="48"/>
  <c r="A95" i="48"/>
  <c r="U92" i="48"/>
  <c r="T92" i="48"/>
  <c r="S92" i="48"/>
  <c r="R92" i="48"/>
  <c r="Q92" i="48"/>
  <c r="P92" i="48"/>
  <c r="O92" i="48"/>
  <c r="N92" i="48"/>
  <c r="M92" i="48"/>
  <c r="L92" i="48"/>
  <c r="U90" i="48"/>
  <c r="T90" i="48"/>
  <c r="S90" i="48"/>
  <c r="A90" i="48"/>
  <c r="A86" i="48"/>
  <c r="S122" i="19" l="1"/>
  <c r="S118" i="19"/>
  <c r="S143" i="19"/>
  <c r="H25" i="53" s="1"/>
  <c r="F87" i="48"/>
  <c r="A74" i="48"/>
  <c r="A75" i="48"/>
  <c r="A76" i="48"/>
  <c r="A77" i="48"/>
  <c r="A78" i="48"/>
  <c r="A79" i="48"/>
  <c r="A73" i="48"/>
  <c r="A62" i="48"/>
  <c r="A63" i="48"/>
  <c r="A64" i="48"/>
  <c r="A65" i="48"/>
  <c r="A66" i="48"/>
  <c r="A67" i="48"/>
  <c r="A61" i="48"/>
  <c r="A52" i="48"/>
  <c r="A53" i="48"/>
  <c r="A54" i="48"/>
  <c r="A55" i="48"/>
  <c r="A56" i="48"/>
  <c r="A57" i="48"/>
  <c r="A51" i="48"/>
  <c r="A39" i="48"/>
  <c r="A40" i="48"/>
  <c r="A41" i="48"/>
  <c r="A42" i="48"/>
  <c r="A43" i="48"/>
  <c r="A44" i="48"/>
  <c r="A38" i="48"/>
  <c r="A35" i="48"/>
  <c r="A33" i="48"/>
  <c r="A32" i="48"/>
  <c r="X144" i="19"/>
  <c r="W144" i="19"/>
  <c r="V144" i="19"/>
  <c r="F15" i="44"/>
  <c r="G34" i="44" s="1"/>
  <c r="X38" i="31"/>
  <c r="X39" i="31" s="1"/>
  <c r="X42" i="31" s="1"/>
  <c r="X24" i="31"/>
  <c r="W38" i="31"/>
  <c r="W39" i="31" s="1"/>
  <c r="W42" i="31" s="1"/>
  <c r="W24" i="31"/>
  <c r="X30" i="25"/>
  <c r="X31" i="25" s="1"/>
  <c r="X34" i="25" s="1"/>
  <c r="W30" i="25"/>
  <c r="W31" i="25" s="1"/>
  <c r="W34" i="25" s="1"/>
  <c r="X30" i="26"/>
  <c r="X31" i="26" s="1"/>
  <c r="X34" i="26" s="1"/>
  <c r="W30" i="26"/>
  <c r="W31" i="26" s="1"/>
  <c r="W34" i="26" s="1"/>
  <c r="X30" i="27"/>
  <c r="X31" i="27" s="1"/>
  <c r="X34" i="27" s="1"/>
  <c r="W30" i="27"/>
  <c r="W31" i="27" s="1"/>
  <c r="W34" i="27" s="1"/>
  <c r="X38" i="30"/>
  <c r="X39" i="30" s="1"/>
  <c r="X42" i="30" s="1"/>
  <c r="X24" i="30"/>
  <c r="W38" i="30"/>
  <c r="W39" i="30" s="1"/>
  <c r="W42" i="30" s="1"/>
  <c r="W24" i="30"/>
  <c r="X38" i="17"/>
  <c r="X39" i="17" s="1"/>
  <c r="X42" i="17" s="1"/>
  <c r="X24" i="17"/>
  <c r="W38" i="17"/>
  <c r="W39" i="17" s="1"/>
  <c r="W42" i="17" s="1"/>
  <c r="W24" i="17"/>
  <c r="X38" i="29"/>
  <c r="X39" i="29" s="1"/>
  <c r="X42" i="29" s="1"/>
  <c r="X24" i="29"/>
  <c r="W38" i="29"/>
  <c r="W39" i="29" s="1"/>
  <c r="W42" i="29" s="1"/>
  <c r="W24" i="29"/>
  <c r="X15" i="32"/>
  <c r="X11" i="32"/>
  <c r="W15" i="32"/>
  <c r="W11" i="32"/>
  <c r="V28" i="53" l="1"/>
  <c r="G80" i="44"/>
  <c r="G29" i="44"/>
  <c r="G68" i="44"/>
  <c r="G45" i="44"/>
  <c r="G58" i="44"/>
  <c r="X27" i="31"/>
  <c r="X28" i="31" s="1"/>
  <c r="X28" i="53"/>
  <c r="W27" i="31"/>
  <c r="W28" i="31" s="1"/>
  <c r="W28" i="53"/>
  <c r="V115" i="19"/>
  <c r="X115" i="19"/>
  <c r="V119" i="19"/>
  <c r="X119" i="19"/>
  <c r="V123" i="19"/>
  <c r="X123" i="19"/>
  <c r="V126" i="19"/>
  <c r="X126" i="19"/>
  <c r="V129" i="19"/>
  <c r="X129" i="19"/>
  <c r="W115" i="19"/>
  <c r="W119" i="19"/>
  <c r="T90" i="19"/>
  <c r="T38" i="53" s="1"/>
  <c r="T39" i="53" s="1"/>
  <c r="T42" i="53" s="1"/>
  <c r="W123" i="19"/>
  <c r="T92" i="19"/>
  <c r="W126" i="19"/>
  <c r="U92" i="19"/>
  <c r="U90" i="19"/>
  <c r="U38" i="53" s="1"/>
  <c r="U39" i="53" s="1"/>
  <c r="U42" i="53" s="1"/>
  <c r="W129" i="19"/>
  <c r="F75" i="48"/>
  <c r="F78" i="48"/>
  <c r="F77" i="48"/>
  <c r="F38" i="48"/>
  <c r="F53" i="48"/>
  <c r="F52" i="48"/>
  <c r="F61" i="48"/>
  <c r="F67" i="48"/>
  <c r="F28" i="48"/>
  <c r="F57" i="48"/>
  <c r="F39" i="48"/>
  <c r="F54" i="48"/>
  <c r="F56" i="48"/>
  <c r="F44" i="48"/>
  <c r="F73" i="48"/>
  <c r="F65" i="48"/>
  <c r="F76" i="48"/>
  <c r="F74" i="48"/>
  <c r="F41" i="48"/>
  <c r="F40" i="48"/>
  <c r="F64" i="48"/>
  <c r="F63" i="48"/>
  <c r="F62" i="48"/>
  <c r="F43" i="48"/>
  <c r="F42" i="48"/>
  <c r="F66" i="48"/>
  <c r="F51" i="48"/>
  <c r="F55" i="48"/>
  <c r="F79" i="48"/>
  <c r="F27" i="48"/>
  <c r="F26" i="48"/>
  <c r="F25" i="48"/>
  <c r="F24" i="48"/>
  <c r="F23" i="48"/>
  <c r="F22" i="48"/>
  <c r="W27" i="17" l="1"/>
  <c r="W28" i="17" s="1"/>
  <c r="W27" i="29"/>
  <c r="W28" i="29" s="1"/>
  <c r="X47" i="26"/>
  <c r="X48" i="27"/>
  <c r="W47" i="26"/>
  <c r="V48" i="27"/>
  <c r="X27" i="30"/>
  <c r="X28" i="30" s="1"/>
  <c r="W48" i="27"/>
  <c r="X27" i="17"/>
  <c r="X28" i="17" s="1"/>
  <c r="W27" i="30"/>
  <c r="W28" i="30" s="1"/>
  <c r="X27" i="29"/>
  <c r="X28" i="29" s="1"/>
  <c r="C61" i="52"/>
  <c r="C60" i="52"/>
  <c r="C52" i="52"/>
  <c r="C51" i="52"/>
  <c r="C50" i="52"/>
  <c r="C49" i="52"/>
  <c r="C48" i="52"/>
  <c r="C47" i="52"/>
  <c r="C46" i="52"/>
  <c r="C45" i="52"/>
  <c r="F44" i="52"/>
  <c r="C44" i="52"/>
  <c r="C43" i="52"/>
  <c r="C40" i="52"/>
  <c r="C41" i="52"/>
  <c r="C42" i="52"/>
  <c r="L33" i="47" l="1"/>
  <c r="K33" i="47"/>
  <c r="L32" i="47"/>
  <c r="K32" i="47"/>
  <c r="C38" i="52"/>
  <c r="C37" i="52"/>
  <c r="C36" i="52"/>
  <c r="C35" i="52"/>
  <c r="C34" i="52"/>
  <c r="C33" i="52"/>
  <c r="C32" i="52"/>
  <c r="C30" i="52"/>
  <c r="C29" i="52"/>
  <c r="C28" i="52"/>
  <c r="C27" i="52"/>
  <c r="C26" i="52"/>
  <c r="C25" i="52"/>
  <c r="C24" i="52"/>
  <c r="C22" i="52"/>
  <c r="C21" i="52"/>
  <c r="C20" i="52"/>
  <c r="C19" i="52"/>
  <c r="C18" i="52"/>
  <c r="C17" i="52"/>
  <c r="C16" i="52"/>
  <c r="C14" i="52"/>
  <c r="C13" i="52"/>
  <c r="C12" i="52"/>
  <c r="C11" i="52"/>
  <c r="C10" i="52"/>
  <c r="C9" i="52"/>
  <c r="C8" i="52"/>
  <c r="C6" i="52"/>
  <c r="C5" i="52"/>
  <c r="C4" i="52"/>
  <c r="I78" i="8"/>
  <c r="H78" i="8"/>
  <c r="G78" i="8"/>
  <c r="F78" i="8"/>
  <c r="E78" i="8"/>
  <c r="I77" i="8"/>
  <c r="H77" i="8"/>
  <c r="G77" i="8"/>
  <c r="F77" i="8"/>
  <c r="E77" i="8"/>
  <c r="I73" i="8"/>
  <c r="G73" i="8"/>
  <c r="F73" i="8"/>
  <c r="E73" i="8"/>
  <c r="I72" i="8"/>
  <c r="G72" i="8"/>
  <c r="F72" i="8"/>
  <c r="E72" i="8"/>
  <c r="E64" i="8"/>
  <c r="F64" i="8"/>
  <c r="G64" i="8"/>
  <c r="I64" i="8"/>
  <c r="I69" i="8"/>
  <c r="H69" i="8"/>
  <c r="G69" i="8"/>
  <c r="F69" i="8"/>
  <c r="I68" i="8"/>
  <c r="G68" i="8"/>
  <c r="F68" i="8"/>
  <c r="E68" i="8"/>
  <c r="E69" i="8"/>
  <c r="I65" i="8"/>
  <c r="H65" i="8"/>
  <c r="G65" i="8"/>
  <c r="F65" i="8"/>
  <c r="E65" i="8"/>
  <c r="G60" i="8"/>
  <c r="E60" i="8"/>
  <c r="I61" i="8"/>
  <c r="H61" i="8"/>
  <c r="G61" i="8"/>
  <c r="F61" i="8"/>
  <c r="E61" i="8"/>
  <c r="U126" i="19" l="1"/>
  <c r="T129" i="19"/>
  <c r="T144" i="19"/>
  <c r="O61" i="52"/>
  <c r="U144" i="19"/>
  <c r="T115" i="19"/>
  <c r="T119" i="19"/>
  <c r="T123" i="19"/>
  <c r="T126" i="19"/>
  <c r="T48" i="27" l="1"/>
  <c r="U48" i="27"/>
  <c r="U28" i="53"/>
  <c r="T28" i="53"/>
  <c r="U119" i="19"/>
  <c r="U115" i="19"/>
  <c r="U129" i="19"/>
  <c r="U123" i="19"/>
  <c r="I57" i="8"/>
  <c r="G57" i="8"/>
  <c r="F57" i="8"/>
  <c r="E57" i="8"/>
  <c r="I56" i="8"/>
  <c r="G56" i="8"/>
  <c r="F56" i="8"/>
  <c r="E56" i="8"/>
  <c r="G160" i="19"/>
  <c r="E160" i="19"/>
  <c r="F158" i="43"/>
  <c r="V15" i="32"/>
  <c r="V11" i="32"/>
  <c r="V38" i="29"/>
  <c r="V39" i="29" s="1"/>
  <c r="V42" i="29" s="1"/>
  <c r="V27" i="29"/>
  <c r="V28" i="29" s="1"/>
  <c r="V24" i="29"/>
  <c r="V38" i="17"/>
  <c r="V39" i="17" s="1"/>
  <c r="V42" i="17" s="1"/>
  <c r="V27" i="17"/>
  <c r="V28" i="17" s="1"/>
  <c r="V24" i="17"/>
  <c r="V38" i="30"/>
  <c r="V39" i="30" s="1"/>
  <c r="V42" i="30" s="1"/>
  <c r="V27" i="30"/>
  <c r="V28" i="30" s="1"/>
  <c r="V24" i="30"/>
  <c r="V30" i="27"/>
  <c r="V31" i="27" s="1"/>
  <c r="V34" i="27" s="1"/>
  <c r="V47" i="26"/>
  <c r="V30" i="26"/>
  <c r="V31" i="26" s="1"/>
  <c r="V34" i="26" s="1"/>
  <c r="V30" i="25"/>
  <c r="V31" i="25" s="1"/>
  <c r="V34" i="25" s="1"/>
  <c r="V38" i="31"/>
  <c r="V39" i="31" s="1"/>
  <c r="V42" i="31" s="1"/>
  <c r="V27" i="31"/>
  <c r="V28" i="31" s="1"/>
  <c r="V24" i="31"/>
  <c r="U15" i="32"/>
  <c r="U11" i="32"/>
  <c r="U38" i="29"/>
  <c r="U39" i="29" s="1"/>
  <c r="U42" i="29" s="1"/>
  <c r="U24" i="29"/>
  <c r="U38" i="17"/>
  <c r="U39" i="17" s="1"/>
  <c r="U42" i="17" s="1"/>
  <c r="U24" i="17"/>
  <c r="U38" i="30"/>
  <c r="U39" i="30" s="1"/>
  <c r="U42" i="30" s="1"/>
  <c r="U24" i="30"/>
  <c r="U30" i="27"/>
  <c r="U31" i="27" s="1"/>
  <c r="U34" i="27" s="1"/>
  <c r="U30" i="26"/>
  <c r="U31" i="26" s="1"/>
  <c r="U34" i="26" s="1"/>
  <c r="U30" i="25"/>
  <c r="U31" i="25" s="1"/>
  <c r="U34" i="25" s="1"/>
  <c r="U38" i="31"/>
  <c r="U39" i="31" s="1"/>
  <c r="U42" i="31" s="1"/>
  <c r="U27" i="31"/>
  <c r="U28" i="31" s="1"/>
  <c r="U24" i="31"/>
  <c r="J33" i="47"/>
  <c r="I33" i="47"/>
  <c r="H33" i="47"/>
  <c r="G33" i="47"/>
  <c r="F33" i="47"/>
  <c r="J32" i="47"/>
  <c r="I32" i="47"/>
  <c r="H32" i="47"/>
  <c r="G32" i="47"/>
  <c r="F32" i="47"/>
  <c r="I44" i="16"/>
  <c r="H44" i="16"/>
  <c r="G44" i="16"/>
  <c r="E44" i="16"/>
  <c r="I42" i="16"/>
  <c r="H42" i="16"/>
  <c r="E42" i="16"/>
  <c r="I41" i="16"/>
  <c r="H41" i="16"/>
  <c r="E41" i="16"/>
  <c r="I40" i="16"/>
  <c r="H40" i="16"/>
  <c r="E40" i="16"/>
  <c r="I39" i="16"/>
  <c r="H39" i="16"/>
  <c r="E39" i="16"/>
  <c r="I38" i="16"/>
  <c r="H38" i="16"/>
  <c r="E38" i="16"/>
  <c r="I37" i="16"/>
  <c r="H37" i="16"/>
  <c r="E37" i="16"/>
  <c r="I36" i="16"/>
  <c r="H36" i="16"/>
  <c r="E36" i="16"/>
  <c r="J33" i="16"/>
  <c r="I31" i="16"/>
  <c r="H31" i="16"/>
  <c r="G31" i="16"/>
  <c r="F31" i="16"/>
  <c r="E31" i="16"/>
  <c r="G29" i="16"/>
  <c r="E29" i="16"/>
  <c r="I20" i="16"/>
  <c r="H20" i="16"/>
  <c r="G20" i="16"/>
  <c r="F20" i="16"/>
  <c r="E20" i="16"/>
  <c r="I17" i="16"/>
  <c r="H17" i="16"/>
  <c r="F17" i="16"/>
  <c r="E17" i="16"/>
  <c r="I13" i="16"/>
  <c r="H13" i="16"/>
  <c r="G13" i="16"/>
  <c r="F13" i="16"/>
  <c r="E13" i="16"/>
  <c r="I12" i="16"/>
  <c r="H12" i="16"/>
  <c r="G12" i="16"/>
  <c r="F12" i="16"/>
  <c r="E12" i="16"/>
  <c r="I11" i="16"/>
  <c r="H11" i="16"/>
  <c r="G11" i="16"/>
  <c r="F11" i="16"/>
  <c r="E11" i="16"/>
  <c r="I10" i="16"/>
  <c r="H10" i="16"/>
  <c r="G10" i="16"/>
  <c r="F10" i="16"/>
  <c r="E10" i="16"/>
  <c r="E5" i="16"/>
  <c r="E4" i="16"/>
  <c r="E3" i="16"/>
  <c r="E2" i="16"/>
  <c r="A1" i="16"/>
  <c r="I65" i="31"/>
  <c r="H65" i="31"/>
  <c r="G65" i="31"/>
  <c r="F65" i="31"/>
  <c r="E65" i="31"/>
  <c r="I62" i="31"/>
  <c r="H62" i="31"/>
  <c r="G62" i="31"/>
  <c r="F62" i="31"/>
  <c r="E62" i="31"/>
  <c r="I61" i="31"/>
  <c r="H61" i="31"/>
  <c r="G61" i="31"/>
  <c r="F61" i="31"/>
  <c r="E61" i="31"/>
  <c r="I60" i="31"/>
  <c r="H60" i="31"/>
  <c r="G60" i="31"/>
  <c r="F60" i="31"/>
  <c r="E60" i="31"/>
  <c r="I57" i="31"/>
  <c r="H57" i="31"/>
  <c r="G57" i="31"/>
  <c r="F57" i="31"/>
  <c r="E57" i="31"/>
  <c r="I54" i="31"/>
  <c r="J55" i="31" s="1"/>
  <c r="J60" i="31" s="1"/>
  <c r="G54" i="31"/>
  <c r="F54" i="31"/>
  <c r="E54" i="31"/>
  <c r="I50" i="31"/>
  <c r="G50" i="31"/>
  <c r="F50" i="31"/>
  <c r="E50" i="31"/>
  <c r="I49" i="31"/>
  <c r="H49" i="31"/>
  <c r="G49" i="31"/>
  <c r="F49" i="31"/>
  <c r="E49" i="31"/>
  <c r="I46" i="31"/>
  <c r="G46" i="31"/>
  <c r="F46" i="31"/>
  <c r="E46" i="31"/>
  <c r="I45" i="31"/>
  <c r="G45" i="31"/>
  <c r="F45" i="31"/>
  <c r="E45" i="31"/>
  <c r="I42" i="31"/>
  <c r="H42" i="31"/>
  <c r="G42" i="31"/>
  <c r="F42" i="31"/>
  <c r="E42" i="31"/>
  <c r="I41" i="31"/>
  <c r="G41" i="31"/>
  <c r="F41" i="31"/>
  <c r="E41" i="31"/>
  <c r="T38" i="31"/>
  <c r="T39" i="31" s="1"/>
  <c r="T42" i="31" s="1"/>
  <c r="P38" i="31"/>
  <c r="P39" i="31" s="1"/>
  <c r="P42" i="31" s="1"/>
  <c r="O38" i="31"/>
  <c r="O39" i="31" s="1"/>
  <c r="O42" i="31" s="1"/>
  <c r="N38" i="31"/>
  <c r="N39" i="31" s="1"/>
  <c r="N42" i="31" s="1"/>
  <c r="M38" i="31"/>
  <c r="M39" i="31" s="1"/>
  <c r="M42" i="31" s="1"/>
  <c r="L38" i="31"/>
  <c r="L39" i="31" s="1"/>
  <c r="L42" i="31" s="1"/>
  <c r="K38" i="31"/>
  <c r="K39" i="31" s="1"/>
  <c r="K42" i="31" s="1"/>
  <c r="J38" i="31"/>
  <c r="J39" i="31" s="1"/>
  <c r="J42" i="31" s="1"/>
  <c r="I38" i="31"/>
  <c r="H38" i="31"/>
  <c r="G38" i="31"/>
  <c r="F38" i="31"/>
  <c r="E38" i="31"/>
  <c r="I34" i="31"/>
  <c r="H34" i="31"/>
  <c r="G34" i="31"/>
  <c r="F34" i="31"/>
  <c r="E34" i="31"/>
  <c r="I33" i="31"/>
  <c r="H33" i="31"/>
  <c r="F33" i="31"/>
  <c r="I29" i="31"/>
  <c r="H29" i="31"/>
  <c r="G29" i="31"/>
  <c r="F29" i="31"/>
  <c r="E29" i="31"/>
  <c r="T27" i="31"/>
  <c r="T28" i="31" s="1"/>
  <c r="N27" i="31"/>
  <c r="N28" i="31" s="1"/>
  <c r="M27" i="31"/>
  <c r="M28" i="31" s="1"/>
  <c r="L27" i="31"/>
  <c r="L28" i="31" s="1"/>
  <c r="K27" i="31"/>
  <c r="K28" i="31" s="1"/>
  <c r="J27" i="31"/>
  <c r="J28" i="31" s="1"/>
  <c r="I27" i="31"/>
  <c r="H27" i="31"/>
  <c r="G27" i="31"/>
  <c r="F27" i="31"/>
  <c r="E27" i="31"/>
  <c r="G26" i="31"/>
  <c r="E26" i="31"/>
  <c r="T24" i="31"/>
  <c r="S24" i="31"/>
  <c r="R24" i="31"/>
  <c r="Q24" i="31"/>
  <c r="P24" i="31"/>
  <c r="O24" i="31"/>
  <c r="M24" i="31"/>
  <c r="L24" i="31"/>
  <c r="K24" i="31"/>
  <c r="J24" i="31"/>
  <c r="I24" i="31"/>
  <c r="H24" i="31"/>
  <c r="G24" i="31"/>
  <c r="F24" i="31"/>
  <c r="E24" i="31"/>
  <c r="E25" i="31" s="1"/>
  <c r="K18" i="31"/>
  <c r="K57" i="31" s="1"/>
  <c r="J18" i="31"/>
  <c r="J57" i="31" s="1"/>
  <c r="I16" i="31"/>
  <c r="H16" i="31"/>
  <c r="G16" i="31"/>
  <c r="F16" i="31"/>
  <c r="E16" i="31"/>
  <c r="G14" i="31"/>
  <c r="E14" i="31"/>
  <c r="I10" i="31"/>
  <c r="H10" i="31"/>
  <c r="E10" i="31"/>
  <c r="E20" i="31" s="1"/>
  <c r="E33" i="31" s="1"/>
  <c r="E5" i="31"/>
  <c r="E4" i="31"/>
  <c r="E3" i="31"/>
  <c r="E2" i="31"/>
  <c r="A1" i="31"/>
  <c r="I41" i="25"/>
  <c r="I45" i="25" s="1"/>
  <c r="G41" i="25"/>
  <c r="G45" i="25" s="1"/>
  <c r="F41" i="25"/>
  <c r="F45" i="25" s="1"/>
  <c r="E41" i="25"/>
  <c r="E45" i="25" s="1"/>
  <c r="I38" i="25"/>
  <c r="G38" i="25"/>
  <c r="F38" i="25"/>
  <c r="E38" i="25"/>
  <c r="I37" i="25"/>
  <c r="H37" i="25"/>
  <c r="G37" i="25"/>
  <c r="F37" i="25"/>
  <c r="E37" i="25"/>
  <c r="I34" i="25"/>
  <c r="H34" i="25"/>
  <c r="G34" i="25"/>
  <c r="F34" i="25"/>
  <c r="E34" i="25"/>
  <c r="I33" i="25"/>
  <c r="H33" i="25"/>
  <c r="G33" i="25"/>
  <c r="E33" i="25"/>
  <c r="T30" i="25"/>
  <c r="T31" i="25" s="1"/>
  <c r="T34" i="25" s="1"/>
  <c r="P30" i="25"/>
  <c r="P31" i="25" s="1"/>
  <c r="P34" i="25" s="1"/>
  <c r="O30" i="25"/>
  <c r="O31" i="25" s="1"/>
  <c r="O34" i="25" s="1"/>
  <c r="N30" i="25"/>
  <c r="N31" i="25" s="1"/>
  <c r="N34" i="25" s="1"/>
  <c r="M30" i="25"/>
  <c r="M31" i="25" s="1"/>
  <c r="M34" i="25" s="1"/>
  <c r="L30" i="25"/>
  <c r="L31" i="25" s="1"/>
  <c r="L34" i="25" s="1"/>
  <c r="K30" i="25"/>
  <c r="K31" i="25" s="1"/>
  <c r="K34" i="25" s="1"/>
  <c r="J30" i="25"/>
  <c r="J31" i="25" s="1"/>
  <c r="J34" i="25" s="1"/>
  <c r="I30" i="25"/>
  <c r="H30" i="25"/>
  <c r="G30" i="25"/>
  <c r="F30" i="25"/>
  <c r="E30" i="25"/>
  <c r="I26" i="25"/>
  <c r="H26" i="25"/>
  <c r="G26" i="25"/>
  <c r="F26" i="25"/>
  <c r="E26" i="25"/>
  <c r="I25" i="25"/>
  <c r="H25" i="25"/>
  <c r="F25" i="25"/>
  <c r="K18" i="25"/>
  <c r="K20" i="25" s="1"/>
  <c r="K25" i="25" s="1"/>
  <c r="J18" i="25"/>
  <c r="J20" i="25" s="1"/>
  <c r="J25" i="25" s="1"/>
  <c r="I16" i="25"/>
  <c r="H16" i="25"/>
  <c r="G16" i="25"/>
  <c r="F16" i="25"/>
  <c r="E16" i="25"/>
  <c r="G14" i="25"/>
  <c r="E14" i="25"/>
  <c r="I10" i="25"/>
  <c r="H10" i="25"/>
  <c r="E10" i="25"/>
  <c r="E20" i="25" s="1"/>
  <c r="E25" i="25" s="1"/>
  <c r="E5" i="25"/>
  <c r="E4" i="25"/>
  <c r="E3" i="25"/>
  <c r="E2" i="25"/>
  <c r="A1" i="25"/>
  <c r="T47" i="26"/>
  <c r="O47" i="26"/>
  <c r="N47" i="26"/>
  <c r="M47" i="26"/>
  <c r="L47" i="26"/>
  <c r="K47" i="26"/>
  <c r="J47" i="26"/>
  <c r="G47" i="26"/>
  <c r="E47" i="26"/>
  <c r="I38" i="26"/>
  <c r="G38" i="26"/>
  <c r="F38" i="26"/>
  <c r="E38" i="26"/>
  <c r="I37" i="26"/>
  <c r="H37" i="26"/>
  <c r="G37" i="26"/>
  <c r="F37" i="26"/>
  <c r="E37" i="26"/>
  <c r="I34" i="26"/>
  <c r="H34" i="26"/>
  <c r="G34" i="26"/>
  <c r="F34" i="26"/>
  <c r="E34" i="26"/>
  <c r="I33" i="26"/>
  <c r="H33" i="26"/>
  <c r="G33" i="26"/>
  <c r="F33" i="26"/>
  <c r="E33" i="26"/>
  <c r="T30" i="26"/>
  <c r="T31" i="26" s="1"/>
  <c r="T34" i="26" s="1"/>
  <c r="P30" i="26"/>
  <c r="P31" i="26" s="1"/>
  <c r="P34" i="26" s="1"/>
  <c r="O30" i="26"/>
  <c r="O31" i="26" s="1"/>
  <c r="O34" i="26" s="1"/>
  <c r="N30" i="26"/>
  <c r="N31" i="26" s="1"/>
  <c r="N34" i="26" s="1"/>
  <c r="M30" i="26"/>
  <c r="M31" i="26" s="1"/>
  <c r="M34" i="26" s="1"/>
  <c r="L30" i="26"/>
  <c r="L31" i="26" s="1"/>
  <c r="L34" i="26" s="1"/>
  <c r="K30" i="26"/>
  <c r="K31" i="26" s="1"/>
  <c r="K34" i="26" s="1"/>
  <c r="J30" i="26"/>
  <c r="J31" i="26" s="1"/>
  <c r="J34" i="26" s="1"/>
  <c r="I30" i="26"/>
  <c r="H30" i="26"/>
  <c r="G30" i="26"/>
  <c r="F30" i="26"/>
  <c r="E30" i="26"/>
  <c r="I26" i="26"/>
  <c r="H26" i="26"/>
  <c r="G26" i="26"/>
  <c r="F26" i="26"/>
  <c r="E26" i="26"/>
  <c r="I25" i="26"/>
  <c r="H25" i="26"/>
  <c r="F25" i="26"/>
  <c r="K18" i="26"/>
  <c r="K20" i="26" s="1"/>
  <c r="K25" i="26" s="1"/>
  <c r="J18" i="26"/>
  <c r="J20" i="26" s="1"/>
  <c r="J25" i="26" s="1"/>
  <c r="I16" i="26"/>
  <c r="H16" i="26"/>
  <c r="G16" i="26"/>
  <c r="F16" i="26"/>
  <c r="E16" i="26"/>
  <c r="G14" i="26"/>
  <c r="E14" i="26"/>
  <c r="I10" i="26"/>
  <c r="H10" i="26"/>
  <c r="E10" i="26"/>
  <c r="E20" i="26" s="1"/>
  <c r="E25" i="26" s="1"/>
  <c r="E5" i="26"/>
  <c r="E4" i="26"/>
  <c r="E3" i="26"/>
  <c r="E2" i="26"/>
  <c r="A1" i="26"/>
  <c r="I52" i="27"/>
  <c r="H52" i="27"/>
  <c r="F52" i="27"/>
  <c r="G43" i="27"/>
  <c r="E43" i="27"/>
  <c r="G42" i="27"/>
  <c r="E42" i="27"/>
  <c r="I38" i="27"/>
  <c r="G38" i="27"/>
  <c r="F38" i="27"/>
  <c r="E38" i="27"/>
  <c r="I37" i="27"/>
  <c r="H37" i="27"/>
  <c r="G37" i="27"/>
  <c r="F37" i="27"/>
  <c r="E37" i="27"/>
  <c r="I34" i="27"/>
  <c r="H34" i="27"/>
  <c r="G34" i="27"/>
  <c r="F34" i="27"/>
  <c r="E34" i="27"/>
  <c r="I33" i="27"/>
  <c r="H33" i="27"/>
  <c r="G33" i="27"/>
  <c r="E33" i="27"/>
  <c r="T30" i="27"/>
  <c r="T31" i="27" s="1"/>
  <c r="T34" i="27" s="1"/>
  <c r="P30" i="27"/>
  <c r="P31" i="27" s="1"/>
  <c r="P34" i="27" s="1"/>
  <c r="O30" i="27"/>
  <c r="O31" i="27" s="1"/>
  <c r="O34" i="27" s="1"/>
  <c r="N30" i="27"/>
  <c r="N31" i="27" s="1"/>
  <c r="N34" i="27" s="1"/>
  <c r="M30" i="27"/>
  <c r="M31" i="27" s="1"/>
  <c r="M34" i="27" s="1"/>
  <c r="L30" i="27"/>
  <c r="L31" i="27" s="1"/>
  <c r="L34" i="27" s="1"/>
  <c r="K30" i="27"/>
  <c r="K31" i="27" s="1"/>
  <c r="K34" i="27" s="1"/>
  <c r="J30" i="27"/>
  <c r="J31" i="27" s="1"/>
  <c r="J34" i="27" s="1"/>
  <c r="I30" i="27"/>
  <c r="H30" i="27"/>
  <c r="G30" i="27"/>
  <c r="F30" i="27"/>
  <c r="E30" i="27"/>
  <c r="I26" i="27"/>
  <c r="H26" i="27"/>
  <c r="G26" i="27"/>
  <c r="F26" i="27"/>
  <c r="E26" i="27"/>
  <c r="I25" i="27"/>
  <c r="H25" i="27"/>
  <c r="F25" i="27"/>
  <c r="K18" i="27"/>
  <c r="K20" i="27" s="1"/>
  <c r="K25" i="27" s="1"/>
  <c r="J18" i="27"/>
  <c r="J20" i="27" s="1"/>
  <c r="J25" i="27" s="1"/>
  <c r="I16" i="27"/>
  <c r="H16" i="27"/>
  <c r="G16" i="27"/>
  <c r="F16" i="27"/>
  <c r="E16" i="27"/>
  <c r="G14" i="27"/>
  <c r="E14" i="27"/>
  <c r="I10" i="27"/>
  <c r="H10" i="27"/>
  <c r="E10" i="27"/>
  <c r="E20" i="27" s="1"/>
  <c r="E25" i="27" s="1"/>
  <c r="E5" i="27"/>
  <c r="E4" i="27"/>
  <c r="E3" i="27"/>
  <c r="E2" i="27"/>
  <c r="A1" i="27"/>
  <c r="I65" i="30"/>
  <c r="H65" i="30"/>
  <c r="G65" i="30"/>
  <c r="F65" i="30"/>
  <c r="E65" i="30"/>
  <c r="I62" i="30"/>
  <c r="H62" i="30"/>
  <c r="G62" i="30"/>
  <c r="F62" i="30"/>
  <c r="E62" i="30"/>
  <c r="I61" i="30"/>
  <c r="H61" i="30"/>
  <c r="G61" i="30"/>
  <c r="F61" i="30"/>
  <c r="E61" i="30"/>
  <c r="I60" i="30"/>
  <c r="H60" i="30"/>
  <c r="G60" i="30"/>
  <c r="F60" i="30"/>
  <c r="E60" i="30"/>
  <c r="I57" i="30"/>
  <c r="H57" i="30"/>
  <c r="G57" i="30"/>
  <c r="F57" i="30"/>
  <c r="E57" i="30"/>
  <c r="I54" i="30"/>
  <c r="J55" i="30" s="1"/>
  <c r="J60" i="30" s="1"/>
  <c r="G54" i="30"/>
  <c r="F54" i="30"/>
  <c r="E54" i="30"/>
  <c r="I50" i="30"/>
  <c r="G50" i="30"/>
  <c r="F50" i="30"/>
  <c r="E50" i="30"/>
  <c r="I49" i="30"/>
  <c r="G49" i="30"/>
  <c r="F49" i="30"/>
  <c r="E49" i="30"/>
  <c r="I46" i="30"/>
  <c r="G46" i="30"/>
  <c r="F46" i="30"/>
  <c r="E46" i="30"/>
  <c r="I45" i="30"/>
  <c r="G45" i="30"/>
  <c r="F45" i="30"/>
  <c r="E45" i="30"/>
  <c r="I42" i="30"/>
  <c r="H42" i="30"/>
  <c r="G42" i="30"/>
  <c r="F42" i="30"/>
  <c r="E42" i="30"/>
  <c r="I41" i="30"/>
  <c r="G41" i="30"/>
  <c r="F41" i="30"/>
  <c r="E41" i="30"/>
  <c r="T38" i="30"/>
  <c r="T39" i="30" s="1"/>
  <c r="T42" i="30" s="1"/>
  <c r="P38" i="30"/>
  <c r="P39" i="30" s="1"/>
  <c r="P42" i="30" s="1"/>
  <c r="O38" i="30"/>
  <c r="O39" i="30" s="1"/>
  <c r="O42" i="30" s="1"/>
  <c r="N38" i="30"/>
  <c r="N39" i="30" s="1"/>
  <c r="N42" i="30" s="1"/>
  <c r="M38" i="30"/>
  <c r="M39" i="30" s="1"/>
  <c r="M42" i="30" s="1"/>
  <c r="L38" i="30"/>
  <c r="L39" i="30" s="1"/>
  <c r="L42" i="30" s="1"/>
  <c r="K38" i="30"/>
  <c r="K39" i="30" s="1"/>
  <c r="K42" i="30" s="1"/>
  <c r="J38" i="30"/>
  <c r="J39" i="30" s="1"/>
  <c r="J42" i="30" s="1"/>
  <c r="I38" i="30"/>
  <c r="H38" i="30"/>
  <c r="G38" i="30"/>
  <c r="F38" i="30"/>
  <c r="E38" i="30"/>
  <c r="I34" i="30"/>
  <c r="H34" i="30"/>
  <c r="G34" i="30"/>
  <c r="F34" i="30"/>
  <c r="E34" i="30"/>
  <c r="I33" i="30"/>
  <c r="H33" i="30"/>
  <c r="F33" i="30"/>
  <c r="I29" i="30"/>
  <c r="H29" i="30"/>
  <c r="G29" i="30"/>
  <c r="F29" i="30"/>
  <c r="E29" i="30"/>
  <c r="T27" i="30"/>
  <c r="T28" i="30" s="1"/>
  <c r="N27" i="30"/>
  <c r="N28" i="30" s="1"/>
  <c r="M27" i="30"/>
  <c r="M28" i="30" s="1"/>
  <c r="L27" i="30"/>
  <c r="L28" i="30" s="1"/>
  <c r="K27" i="30"/>
  <c r="K28" i="30" s="1"/>
  <c r="J27" i="30"/>
  <c r="J28" i="30" s="1"/>
  <c r="I27" i="30"/>
  <c r="H27" i="30"/>
  <c r="G27" i="30"/>
  <c r="F27" i="30"/>
  <c r="E27" i="30"/>
  <c r="I26" i="30"/>
  <c r="G26" i="30"/>
  <c r="F26" i="30"/>
  <c r="E26" i="30"/>
  <c r="T24" i="30"/>
  <c r="S24" i="30"/>
  <c r="R24" i="30"/>
  <c r="Q24" i="30"/>
  <c r="P24" i="30"/>
  <c r="O24" i="30"/>
  <c r="M24" i="30"/>
  <c r="L24" i="30"/>
  <c r="K24" i="30"/>
  <c r="J24" i="30"/>
  <c r="I24" i="30"/>
  <c r="H24" i="30"/>
  <c r="G24" i="30"/>
  <c r="F24" i="30"/>
  <c r="E24" i="30"/>
  <c r="E25" i="30" s="1"/>
  <c r="K18" i="30"/>
  <c r="K57" i="30" s="1"/>
  <c r="J18" i="30"/>
  <c r="J57" i="30" s="1"/>
  <c r="I16" i="30"/>
  <c r="H16" i="30"/>
  <c r="G16" i="30"/>
  <c r="F16" i="30"/>
  <c r="E16" i="30"/>
  <c r="G14" i="30"/>
  <c r="E14" i="30"/>
  <c r="I10" i="30"/>
  <c r="H10" i="30"/>
  <c r="E10" i="30"/>
  <c r="E20" i="30" s="1"/>
  <c r="E33" i="30" s="1"/>
  <c r="E5" i="30"/>
  <c r="E4" i="30"/>
  <c r="E3" i="30"/>
  <c r="E2" i="30"/>
  <c r="A1" i="30"/>
  <c r="I65" i="17"/>
  <c r="H65" i="17"/>
  <c r="G65" i="17"/>
  <c r="F65" i="17"/>
  <c r="E65" i="17"/>
  <c r="I62" i="17"/>
  <c r="H62" i="17"/>
  <c r="G62" i="17"/>
  <c r="F62" i="17"/>
  <c r="E62" i="17"/>
  <c r="I61" i="17"/>
  <c r="H61" i="17"/>
  <c r="G61" i="17"/>
  <c r="F61" i="17"/>
  <c r="E61" i="17"/>
  <c r="I60" i="17"/>
  <c r="H60" i="17"/>
  <c r="G60" i="17"/>
  <c r="F60" i="17"/>
  <c r="E60" i="17"/>
  <c r="I57" i="17"/>
  <c r="H57" i="17"/>
  <c r="G57" i="17"/>
  <c r="F57" i="17"/>
  <c r="E57" i="17"/>
  <c r="I54" i="17"/>
  <c r="J55" i="17" s="1"/>
  <c r="J60" i="17" s="1"/>
  <c r="G54" i="17"/>
  <c r="F54" i="17"/>
  <c r="E54" i="17"/>
  <c r="I50" i="17"/>
  <c r="G50" i="17"/>
  <c r="F50" i="17"/>
  <c r="E50" i="17"/>
  <c r="I49" i="17"/>
  <c r="G49" i="17"/>
  <c r="F49" i="17"/>
  <c r="E49" i="17"/>
  <c r="I46" i="17"/>
  <c r="G46" i="17"/>
  <c r="F46" i="17"/>
  <c r="E46" i="17"/>
  <c r="I45" i="17"/>
  <c r="G45" i="17"/>
  <c r="F45" i="17"/>
  <c r="E45" i="17"/>
  <c r="I42" i="17"/>
  <c r="H42" i="17"/>
  <c r="G42" i="17"/>
  <c r="F42" i="17"/>
  <c r="E42" i="17"/>
  <c r="I41" i="17"/>
  <c r="G41" i="17"/>
  <c r="F41" i="17"/>
  <c r="E41" i="17"/>
  <c r="T38" i="17"/>
  <c r="T39" i="17" s="1"/>
  <c r="T42" i="17" s="1"/>
  <c r="P38" i="17"/>
  <c r="P39" i="17" s="1"/>
  <c r="P42" i="17" s="1"/>
  <c r="O38" i="17"/>
  <c r="O39" i="17" s="1"/>
  <c r="O42" i="17" s="1"/>
  <c r="N38" i="17"/>
  <c r="N39" i="17" s="1"/>
  <c r="N42" i="17" s="1"/>
  <c r="M38" i="17"/>
  <c r="M39" i="17" s="1"/>
  <c r="M42" i="17" s="1"/>
  <c r="L38" i="17"/>
  <c r="L39" i="17" s="1"/>
  <c r="L42" i="17" s="1"/>
  <c r="K38" i="17"/>
  <c r="K39" i="17" s="1"/>
  <c r="K42" i="17" s="1"/>
  <c r="J38" i="17"/>
  <c r="J39" i="17" s="1"/>
  <c r="J42" i="17" s="1"/>
  <c r="I38" i="17"/>
  <c r="H38" i="17"/>
  <c r="G38" i="17"/>
  <c r="F38" i="17"/>
  <c r="E38" i="17"/>
  <c r="I34" i="17"/>
  <c r="H34" i="17"/>
  <c r="G34" i="17"/>
  <c r="F34" i="17"/>
  <c r="E34" i="17"/>
  <c r="I33" i="17"/>
  <c r="H33" i="17"/>
  <c r="F33" i="17"/>
  <c r="I29" i="17"/>
  <c r="H29" i="17"/>
  <c r="G29" i="17"/>
  <c r="F29" i="17"/>
  <c r="E29" i="17"/>
  <c r="T27" i="17"/>
  <c r="T28" i="17" s="1"/>
  <c r="N27" i="17"/>
  <c r="N28" i="17" s="1"/>
  <c r="M27" i="17"/>
  <c r="M28" i="17" s="1"/>
  <c r="L27" i="17"/>
  <c r="L28" i="17" s="1"/>
  <c r="K27" i="17"/>
  <c r="K28" i="17" s="1"/>
  <c r="J27" i="17"/>
  <c r="J28" i="17" s="1"/>
  <c r="I27" i="17"/>
  <c r="H27" i="17"/>
  <c r="G27" i="17"/>
  <c r="F27" i="17"/>
  <c r="E27" i="17"/>
  <c r="I26" i="17"/>
  <c r="G26" i="17"/>
  <c r="F26" i="17"/>
  <c r="E26" i="17"/>
  <c r="T24" i="17"/>
  <c r="S24" i="17"/>
  <c r="R24" i="17"/>
  <c r="Q24" i="17"/>
  <c r="P24" i="17"/>
  <c r="O24" i="17"/>
  <c r="M24" i="17"/>
  <c r="L24" i="17"/>
  <c r="K24" i="17"/>
  <c r="J24" i="17"/>
  <c r="I24" i="17"/>
  <c r="H24" i="17"/>
  <c r="G24" i="17"/>
  <c r="F24" i="17"/>
  <c r="E24" i="17"/>
  <c r="E25" i="17" s="1"/>
  <c r="K18" i="17"/>
  <c r="K57" i="17" s="1"/>
  <c r="J18" i="17"/>
  <c r="J57" i="17" s="1"/>
  <c r="I16" i="17"/>
  <c r="H16" i="17"/>
  <c r="G16" i="17"/>
  <c r="F16" i="17"/>
  <c r="E16" i="17"/>
  <c r="G14" i="17"/>
  <c r="E14" i="17"/>
  <c r="I10" i="17"/>
  <c r="H10" i="17"/>
  <c r="E10" i="17"/>
  <c r="E20" i="17" s="1"/>
  <c r="E33" i="17" s="1"/>
  <c r="E5" i="17"/>
  <c r="E4" i="17"/>
  <c r="E3" i="17"/>
  <c r="E2" i="17"/>
  <c r="A1" i="17"/>
  <c r="I65" i="29"/>
  <c r="H65" i="29"/>
  <c r="G65" i="29"/>
  <c r="F65" i="29"/>
  <c r="E65" i="29"/>
  <c r="I62" i="29"/>
  <c r="H62" i="29"/>
  <c r="G62" i="29"/>
  <c r="F62" i="29"/>
  <c r="E62" i="29"/>
  <c r="I61" i="29"/>
  <c r="H61" i="29"/>
  <c r="G61" i="29"/>
  <c r="F61" i="29"/>
  <c r="E61" i="29"/>
  <c r="I60" i="29"/>
  <c r="H60" i="29"/>
  <c r="G60" i="29"/>
  <c r="F60" i="29"/>
  <c r="E60" i="29"/>
  <c r="I57" i="29"/>
  <c r="H57" i="29"/>
  <c r="G57" i="29"/>
  <c r="F57" i="29"/>
  <c r="E57" i="29"/>
  <c r="I54" i="29"/>
  <c r="J55" i="29" s="1"/>
  <c r="J60" i="29" s="1"/>
  <c r="G54" i="29"/>
  <c r="F54" i="29"/>
  <c r="E54" i="29"/>
  <c r="I50" i="29"/>
  <c r="G50" i="29"/>
  <c r="F50" i="29"/>
  <c r="E50" i="29"/>
  <c r="I49" i="29"/>
  <c r="G49" i="29"/>
  <c r="F49" i="29"/>
  <c r="E49" i="29"/>
  <c r="I46" i="29"/>
  <c r="G46" i="29"/>
  <c r="F46" i="29"/>
  <c r="E46" i="29"/>
  <c r="I45" i="29"/>
  <c r="G45" i="29"/>
  <c r="F45" i="29"/>
  <c r="E45" i="29"/>
  <c r="I42" i="29"/>
  <c r="H42" i="29"/>
  <c r="G42" i="29"/>
  <c r="F42" i="29"/>
  <c r="E42" i="29"/>
  <c r="I41" i="29"/>
  <c r="G41" i="29"/>
  <c r="F41" i="29"/>
  <c r="E41" i="29"/>
  <c r="T38" i="29"/>
  <c r="T39" i="29" s="1"/>
  <c r="T42" i="29" s="1"/>
  <c r="P38" i="29"/>
  <c r="P39" i="29" s="1"/>
  <c r="P42" i="29" s="1"/>
  <c r="O38" i="29"/>
  <c r="O39" i="29" s="1"/>
  <c r="O42" i="29" s="1"/>
  <c r="N38" i="29"/>
  <c r="N39" i="29" s="1"/>
  <c r="N42" i="29" s="1"/>
  <c r="M38" i="29"/>
  <c r="M39" i="29" s="1"/>
  <c r="M42" i="29" s="1"/>
  <c r="L38" i="29"/>
  <c r="L39" i="29" s="1"/>
  <c r="L42" i="29" s="1"/>
  <c r="K38" i="29"/>
  <c r="K39" i="29" s="1"/>
  <c r="K42" i="29" s="1"/>
  <c r="J38" i="29"/>
  <c r="J39" i="29" s="1"/>
  <c r="J42" i="29" s="1"/>
  <c r="I38" i="29"/>
  <c r="H38" i="29"/>
  <c r="G38" i="29"/>
  <c r="F38" i="29"/>
  <c r="E38" i="29"/>
  <c r="I34" i="29"/>
  <c r="H34" i="29"/>
  <c r="G34" i="29"/>
  <c r="F34" i="29"/>
  <c r="E34" i="29"/>
  <c r="I33" i="29"/>
  <c r="H33" i="29"/>
  <c r="F33" i="29"/>
  <c r="I29" i="29"/>
  <c r="H29" i="29"/>
  <c r="G29" i="29"/>
  <c r="F29" i="29"/>
  <c r="E29" i="29"/>
  <c r="T27" i="29"/>
  <c r="T28" i="29" s="1"/>
  <c r="N27" i="29"/>
  <c r="N28" i="29" s="1"/>
  <c r="M27" i="29"/>
  <c r="M28" i="29" s="1"/>
  <c r="L27" i="29"/>
  <c r="L28" i="29" s="1"/>
  <c r="K27" i="29"/>
  <c r="K28" i="29" s="1"/>
  <c r="J27" i="29"/>
  <c r="J28" i="29" s="1"/>
  <c r="I27" i="29"/>
  <c r="H27" i="29"/>
  <c r="G27" i="29"/>
  <c r="F27" i="29"/>
  <c r="E27" i="29"/>
  <c r="I26" i="29"/>
  <c r="G26" i="29"/>
  <c r="F26" i="29"/>
  <c r="E26" i="29"/>
  <c r="T24" i="29"/>
  <c r="S24" i="29"/>
  <c r="R24" i="29"/>
  <c r="Q24" i="29"/>
  <c r="P24" i="29"/>
  <c r="O24" i="29"/>
  <c r="M24" i="29"/>
  <c r="L24" i="29"/>
  <c r="K24" i="29"/>
  <c r="J24" i="29"/>
  <c r="I24" i="29"/>
  <c r="H24" i="29"/>
  <c r="G24" i="29"/>
  <c r="F24" i="29"/>
  <c r="E24" i="29"/>
  <c r="E25" i="29" s="1"/>
  <c r="K18" i="29"/>
  <c r="K57" i="29" s="1"/>
  <c r="J18" i="29"/>
  <c r="I16" i="29"/>
  <c r="H16" i="29"/>
  <c r="G16" i="29"/>
  <c r="F16" i="29"/>
  <c r="E16" i="29"/>
  <c r="G14" i="29"/>
  <c r="E14" i="29"/>
  <c r="I10" i="29"/>
  <c r="H10" i="29"/>
  <c r="E10" i="29"/>
  <c r="E20" i="29" s="1"/>
  <c r="E33" i="29" s="1"/>
  <c r="E5" i="29"/>
  <c r="E4" i="29"/>
  <c r="E3" i="29"/>
  <c r="E2" i="29"/>
  <c r="A1" i="29"/>
  <c r="E129" i="24"/>
  <c r="E128" i="24"/>
  <c r="E127" i="24"/>
  <c r="E126" i="24"/>
  <c r="E125" i="24"/>
  <c r="E124" i="24"/>
  <c r="E123" i="24"/>
  <c r="G95" i="24"/>
  <c r="E95" i="24"/>
  <c r="G94" i="24"/>
  <c r="E94" i="24"/>
  <c r="G93" i="24"/>
  <c r="E93" i="24"/>
  <c r="E77" i="24"/>
  <c r="E76" i="24"/>
  <c r="E75" i="24"/>
  <c r="E74" i="24"/>
  <c r="E73" i="24"/>
  <c r="E72" i="24"/>
  <c r="E71" i="24"/>
  <c r="D70" i="24"/>
  <c r="E53" i="24"/>
  <c r="E52" i="24"/>
  <c r="E51" i="24"/>
  <c r="E50" i="24"/>
  <c r="E49" i="24"/>
  <c r="E48" i="24"/>
  <c r="E47" i="24"/>
  <c r="D46" i="24"/>
  <c r="E31" i="24"/>
  <c r="E30" i="24"/>
  <c r="E29" i="24"/>
  <c r="E28" i="24"/>
  <c r="E27" i="24"/>
  <c r="E26" i="24"/>
  <c r="E25" i="24"/>
  <c r="D24" i="24"/>
  <c r="E22" i="24"/>
  <c r="E20" i="24"/>
  <c r="E19" i="24"/>
  <c r="D18" i="24"/>
  <c r="E15" i="24"/>
  <c r="E14" i="24"/>
  <c r="E13" i="24"/>
  <c r="E12" i="24"/>
  <c r="E11" i="24"/>
  <c r="E10" i="24"/>
  <c r="E9" i="24"/>
  <c r="D8" i="24"/>
  <c r="A1" i="24"/>
  <c r="T15" i="32"/>
  <c r="G15" i="32"/>
  <c r="E15" i="32"/>
  <c r="I14" i="32"/>
  <c r="H14" i="32"/>
  <c r="G14" i="32"/>
  <c r="F14" i="32"/>
  <c r="E14" i="32"/>
  <c r="T11" i="32"/>
  <c r="G11" i="32"/>
  <c r="E11" i="32"/>
  <c r="G9" i="32"/>
  <c r="E9" i="32"/>
  <c r="E5" i="32"/>
  <c r="E4" i="32"/>
  <c r="E3" i="32"/>
  <c r="E2" i="32"/>
  <c r="A1" i="32"/>
  <c r="I105" i="8"/>
  <c r="G105" i="8"/>
  <c r="F105" i="8"/>
  <c r="E105" i="8"/>
  <c r="I104" i="8"/>
  <c r="H104" i="8"/>
  <c r="G104" i="8"/>
  <c r="F104" i="8"/>
  <c r="E104" i="8"/>
  <c r="G103" i="8"/>
  <c r="E103" i="8"/>
  <c r="G102" i="8"/>
  <c r="E102" i="8"/>
  <c r="G97" i="8"/>
  <c r="E97" i="8"/>
  <c r="G96" i="8"/>
  <c r="E96" i="8"/>
  <c r="G95" i="8"/>
  <c r="E95" i="8"/>
  <c r="G94" i="8"/>
  <c r="E94" i="8"/>
  <c r="I87" i="8"/>
  <c r="G87" i="8"/>
  <c r="F87" i="8"/>
  <c r="E87" i="8"/>
  <c r="I84" i="8"/>
  <c r="J85" i="8" s="1"/>
  <c r="J64" i="8" s="1"/>
  <c r="G84" i="8"/>
  <c r="F84" i="8"/>
  <c r="E84" i="8"/>
  <c r="I52" i="8"/>
  <c r="G52" i="8"/>
  <c r="F52" i="8"/>
  <c r="E52" i="8"/>
  <c r="I51" i="8"/>
  <c r="G51" i="8"/>
  <c r="F51" i="8"/>
  <c r="E51" i="8"/>
  <c r="I48" i="8"/>
  <c r="H48" i="8"/>
  <c r="G48" i="8"/>
  <c r="F48" i="8"/>
  <c r="E48" i="8"/>
  <c r="G47" i="8"/>
  <c r="E47" i="8"/>
  <c r="I44" i="8"/>
  <c r="J45" i="8" s="1"/>
  <c r="G44" i="8"/>
  <c r="F44" i="8"/>
  <c r="E44" i="8"/>
  <c r="I38" i="8"/>
  <c r="H38" i="8"/>
  <c r="G38" i="8"/>
  <c r="F38" i="8"/>
  <c r="E38" i="8"/>
  <c r="G37" i="8"/>
  <c r="E37" i="8"/>
  <c r="I32" i="8"/>
  <c r="H32" i="8"/>
  <c r="G32" i="8"/>
  <c r="F32" i="8"/>
  <c r="E32" i="8"/>
  <c r="G31" i="8"/>
  <c r="E31" i="8"/>
  <c r="I25" i="8"/>
  <c r="H25" i="8"/>
  <c r="G25" i="8"/>
  <c r="F25" i="8"/>
  <c r="E25" i="8"/>
  <c r="I24" i="8"/>
  <c r="H24" i="8"/>
  <c r="G24" i="8"/>
  <c r="F24" i="8"/>
  <c r="E24" i="8"/>
  <c r="I20" i="8"/>
  <c r="G20" i="8"/>
  <c r="F20" i="8"/>
  <c r="E20" i="8"/>
  <c r="G19" i="8"/>
  <c r="E19" i="8"/>
  <c r="G16" i="8"/>
  <c r="E16" i="8"/>
  <c r="I13" i="8"/>
  <c r="H13" i="8"/>
  <c r="G13" i="8"/>
  <c r="F13" i="8"/>
  <c r="E13" i="8"/>
  <c r="J10" i="8"/>
  <c r="E5" i="8"/>
  <c r="E4" i="8"/>
  <c r="E3" i="8"/>
  <c r="E2" i="8"/>
  <c r="A1" i="8"/>
  <c r="F15" i="19"/>
  <c r="G34" i="19" s="1"/>
  <c r="G21" i="24" s="1"/>
  <c r="F14" i="19"/>
  <c r="E5" i="19"/>
  <c r="E4" i="19"/>
  <c r="E3" i="19"/>
  <c r="E2" i="19"/>
  <c r="A1" i="19"/>
  <c r="F167" i="19"/>
  <c r="F103" i="8" s="1"/>
  <c r="F166" i="19"/>
  <c r="F102" i="8" s="1"/>
  <c r="F165" i="19"/>
  <c r="F164" i="19"/>
  <c r="F157" i="19"/>
  <c r="F154" i="19"/>
  <c r="F31" i="8" s="1"/>
  <c r="F152" i="19"/>
  <c r="F16" i="8" s="1"/>
  <c r="F17" i="8" s="1"/>
  <c r="F19" i="8" s="1"/>
  <c r="K92" i="19"/>
  <c r="J92" i="19"/>
  <c r="G79" i="44"/>
  <c r="G78" i="44"/>
  <c r="G77" i="44"/>
  <c r="G76" i="44"/>
  <c r="G75" i="44"/>
  <c r="G74" i="44"/>
  <c r="G73" i="44"/>
  <c r="G67" i="44"/>
  <c r="G66" i="44"/>
  <c r="G65" i="44"/>
  <c r="G64" i="44"/>
  <c r="G63" i="44"/>
  <c r="G62" i="44"/>
  <c r="G61" i="44"/>
  <c r="G57" i="44"/>
  <c r="G56" i="44"/>
  <c r="G55" i="44"/>
  <c r="G54" i="44"/>
  <c r="G53" i="44"/>
  <c r="G52" i="44"/>
  <c r="G51" i="44"/>
  <c r="G44" i="44"/>
  <c r="G43" i="44"/>
  <c r="G42" i="44"/>
  <c r="G41" i="44"/>
  <c r="G40" i="44"/>
  <c r="G39" i="44"/>
  <c r="G38" i="44"/>
  <c r="G35" i="44"/>
  <c r="G33" i="44"/>
  <c r="G32" i="44"/>
  <c r="G28" i="44"/>
  <c r="G27" i="44"/>
  <c r="G26" i="44"/>
  <c r="G25" i="44"/>
  <c r="G24" i="44"/>
  <c r="G23" i="44"/>
  <c r="G22" i="44"/>
  <c r="F12" i="19"/>
  <c r="F14" i="53" s="1"/>
  <c r="F15" i="53" s="1"/>
  <c r="E5" i="44"/>
  <c r="E4" i="44"/>
  <c r="E3" i="44"/>
  <c r="E2" i="44"/>
  <c r="A1" i="44"/>
  <c r="B61" i="52"/>
  <c r="B60" i="52"/>
  <c r="B52" i="52"/>
  <c r="B51" i="52"/>
  <c r="B50" i="52"/>
  <c r="B49" i="52"/>
  <c r="B48" i="52"/>
  <c r="B47" i="52"/>
  <c r="B46" i="52"/>
  <c r="B45" i="52"/>
  <c r="F107" i="43"/>
  <c r="N44" i="52"/>
  <c r="M44" i="52"/>
  <c r="L44" i="52"/>
  <c r="K44" i="52"/>
  <c r="J44" i="52"/>
  <c r="I44" i="52"/>
  <c r="H44" i="52"/>
  <c r="G44" i="52"/>
  <c r="B44" i="52"/>
  <c r="N43" i="52"/>
  <c r="M43" i="52"/>
  <c r="L43" i="52"/>
  <c r="B43" i="52"/>
  <c r="F15" i="43"/>
  <c r="G34" i="43" s="1"/>
  <c r="H1" i="43"/>
  <c r="E5" i="43"/>
  <c r="E4" i="43"/>
  <c r="E3" i="43"/>
  <c r="E2" i="43"/>
  <c r="F158" i="48"/>
  <c r="F35" i="48"/>
  <c r="F33" i="48"/>
  <c r="F32" i="48"/>
  <c r="F15" i="48"/>
  <c r="G34" i="48" s="1"/>
  <c r="F9" i="48"/>
  <c r="E5" i="48"/>
  <c r="E4" i="48"/>
  <c r="E3" i="48"/>
  <c r="E2" i="48"/>
  <c r="A1" i="48"/>
  <c r="A1" i="22"/>
  <c r="A1" i="35"/>
  <c r="A1" i="34"/>
  <c r="A1" i="41"/>
  <c r="J5" i="53" l="1"/>
  <c r="H1" i="48"/>
  <c r="U27" i="17"/>
  <c r="U28" i="17" s="1"/>
  <c r="U47" i="26"/>
  <c r="U27" i="30"/>
  <c r="U28" i="30" s="1"/>
  <c r="U27" i="29"/>
  <c r="U28" i="29" s="1"/>
  <c r="G53" i="27"/>
  <c r="G56" i="27" s="1"/>
  <c r="G88" i="24"/>
  <c r="G152" i="24" s="1"/>
  <c r="G68" i="19"/>
  <c r="G78" i="24" s="1"/>
  <c r="G58" i="19"/>
  <c r="G54" i="24" s="1"/>
  <c r="G117" i="24"/>
  <c r="G45" i="19"/>
  <c r="G32" i="24" s="1"/>
  <c r="G80" i="19"/>
  <c r="G130" i="24" s="1"/>
  <c r="G64" i="24"/>
  <c r="G29" i="19"/>
  <c r="G16" i="24" s="1"/>
  <c r="G53" i="16"/>
  <c r="G42" i="24"/>
  <c r="G58" i="43"/>
  <c r="G45" i="43"/>
  <c r="G80" i="43"/>
  <c r="G68" i="43"/>
  <c r="G29" i="43"/>
  <c r="G23" i="48"/>
  <c r="G58" i="48"/>
  <c r="G68" i="48"/>
  <c r="G45" i="48"/>
  <c r="G29" i="48"/>
  <c r="G80" i="48"/>
  <c r="J68" i="8"/>
  <c r="J70" i="8" s="1"/>
  <c r="J26" i="53"/>
  <c r="F96" i="19"/>
  <c r="F104" i="19"/>
  <c r="F9" i="19"/>
  <c r="E1" i="22" s="1"/>
  <c r="F105" i="19"/>
  <c r="F100" i="19"/>
  <c r="F101" i="19"/>
  <c r="F106" i="19"/>
  <c r="F97" i="19"/>
  <c r="F98" i="19"/>
  <c r="F99" i="19"/>
  <c r="F102" i="19"/>
  <c r="F103" i="19"/>
  <c r="F95" i="19"/>
  <c r="J5" i="19"/>
  <c r="F156" i="19"/>
  <c r="F37" i="8" s="1"/>
  <c r="G47" i="25"/>
  <c r="G53" i="25" s="1"/>
  <c r="G46" i="25"/>
  <c r="G52" i="25" s="1"/>
  <c r="J5" i="43"/>
  <c r="K20" i="17"/>
  <c r="K33" i="17" s="1"/>
  <c r="J20" i="31"/>
  <c r="J33" i="31" s="1"/>
  <c r="N17" i="52"/>
  <c r="B17" i="52"/>
  <c r="N34" i="52"/>
  <c r="B34" i="52"/>
  <c r="N21" i="52"/>
  <c r="B21" i="52"/>
  <c r="N22" i="52"/>
  <c r="B22" i="52"/>
  <c r="N10" i="52"/>
  <c r="B10" i="52"/>
  <c r="N11" i="52"/>
  <c r="B11" i="52"/>
  <c r="N25" i="52"/>
  <c r="B25" i="52"/>
  <c r="N38" i="52"/>
  <c r="B38" i="52"/>
  <c r="N4" i="52"/>
  <c r="B4" i="52"/>
  <c r="N32" i="52"/>
  <c r="B32" i="52"/>
  <c r="N5" i="52"/>
  <c r="B5" i="52"/>
  <c r="N33" i="52"/>
  <c r="B33" i="52"/>
  <c r="N8" i="52"/>
  <c r="B8" i="52"/>
  <c r="N36" i="52"/>
  <c r="B36" i="52"/>
  <c r="N26" i="52"/>
  <c r="B26" i="52"/>
  <c r="H1" i="44"/>
  <c r="N14" i="52"/>
  <c r="B14" i="52"/>
  <c r="N28" i="52"/>
  <c r="B28" i="52"/>
  <c r="B42" i="52"/>
  <c r="N30" i="52"/>
  <c r="B30" i="52"/>
  <c r="N18" i="52"/>
  <c r="B18" i="52"/>
  <c r="N19" i="52"/>
  <c r="B19" i="52"/>
  <c r="N6" i="52"/>
  <c r="B6" i="52"/>
  <c r="N20" i="52"/>
  <c r="B20" i="52"/>
  <c r="N35" i="52"/>
  <c r="B35" i="52"/>
  <c r="N9" i="52"/>
  <c r="B9" i="52"/>
  <c r="N24" i="52"/>
  <c r="B24" i="52"/>
  <c r="N37" i="52"/>
  <c r="B37" i="52"/>
  <c r="N12" i="52"/>
  <c r="B12" i="52"/>
  <c r="N40" i="52"/>
  <c r="B40" i="52"/>
  <c r="N13" i="52"/>
  <c r="B13" i="52"/>
  <c r="N27" i="52"/>
  <c r="B27" i="52"/>
  <c r="N41" i="52"/>
  <c r="B41" i="52"/>
  <c r="N16" i="52"/>
  <c r="B16" i="52"/>
  <c r="N29" i="52"/>
  <c r="B29" i="52"/>
  <c r="G74" i="48"/>
  <c r="G43" i="48"/>
  <c r="G63" i="48"/>
  <c r="G44" i="48"/>
  <c r="G67" i="48"/>
  <c r="G78" i="48"/>
  <c r="G52" i="48"/>
  <c r="G62" i="48"/>
  <c r="G22" i="48"/>
  <c r="G77" i="48"/>
  <c r="G57" i="48"/>
  <c r="G59" i="24"/>
  <c r="G62" i="43"/>
  <c r="J5" i="17"/>
  <c r="J5" i="48"/>
  <c r="N24" i="31"/>
  <c r="H25" i="31" s="1"/>
  <c r="O27" i="29"/>
  <c r="O28" i="29" s="1"/>
  <c r="Q27" i="29"/>
  <c r="Q28" i="29" s="1"/>
  <c r="S47" i="26"/>
  <c r="R27" i="17"/>
  <c r="R28" i="17" s="1"/>
  <c r="O27" i="17"/>
  <c r="O28" i="17" s="1"/>
  <c r="K20" i="29"/>
  <c r="K33" i="29" s="1"/>
  <c r="G26" i="48"/>
  <c r="P27" i="31"/>
  <c r="P28" i="31" s="1"/>
  <c r="P27" i="30"/>
  <c r="P28" i="30" s="1"/>
  <c r="S27" i="17"/>
  <c r="S28" i="17" s="1"/>
  <c r="R27" i="31"/>
  <c r="R28" i="31" s="1"/>
  <c r="G42" i="19"/>
  <c r="G29" i="24" s="1"/>
  <c r="J20" i="17"/>
  <c r="J33" i="17" s="1"/>
  <c r="G60" i="24"/>
  <c r="G35" i="48"/>
  <c r="G40" i="48"/>
  <c r="R92" i="19"/>
  <c r="R15" i="32" s="1"/>
  <c r="Q27" i="30"/>
  <c r="Q28" i="30" s="1"/>
  <c r="G22" i="19"/>
  <c r="G9" i="24" s="1"/>
  <c r="G44" i="19"/>
  <c r="G31" i="24" s="1"/>
  <c r="G74" i="19"/>
  <c r="G124" i="24" s="1"/>
  <c r="G62" i="24"/>
  <c r="G67" i="19"/>
  <c r="G77" i="24" s="1"/>
  <c r="G24" i="19"/>
  <c r="G11" i="24" s="1"/>
  <c r="G63" i="24"/>
  <c r="G64" i="48"/>
  <c r="S27" i="29"/>
  <c r="S28" i="29" s="1"/>
  <c r="Q47" i="26"/>
  <c r="G26" i="19"/>
  <c r="G13" i="24" s="1"/>
  <c r="G54" i="19"/>
  <c r="G50" i="24" s="1"/>
  <c r="G78" i="19"/>
  <c r="G128" i="24" s="1"/>
  <c r="G36" i="24"/>
  <c r="G83" i="24"/>
  <c r="G114" i="24"/>
  <c r="G40" i="16" s="1"/>
  <c r="J20" i="30"/>
  <c r="J33" i="30" s="1"/>
  <c r="G76" i="19"/>
  <c r="G126" i="24" s="1"/>
  <c r="G112" i="24"/>
  <c r="G38" i="16" s="1"/>
  <c r="G38" i="48"/>
  <c r="G28" i="48"/>
  <c r="G61" i="48"/>
  <c r="R47" i="26"/>
  <c r="G28" i="19"/>
  <c r="G15" i="24" s="1"/>
  <c r="G56" i="19"/>
  <c r="G52" i="24" s="1"/>
  <c r="G38" i="24"/>
  <c r="G116" i="24"/>
  <c r="K20" i="30"/>
  <c r="K33" i="30" s="1"/>
  <c r="G75" i="48"/>
  <c r="G42" i="48"/>
  <c r="G51" i="48"/>
  <c r="G54" i="48"/>
  <c r="N24" i="17"/>
  <c r="H25" i="17" s="1"/>
  <c r="N24" i="30"/>
  <c r="H25" i="30" s="1"/>
  <c r="J5" i="44"/>
  <c r="G33" i="19"/>
  <c r="G20" i="24" s="1"/>
  <c r="G61" i="19"/>
  <c r="G71" i="24" s="1"/>
  <c r="G39" i="24"/>
  <c r="G52" i="19"/>
  <c r="G48" i="24" s="1"/>
  <c r="G25" i="48"/>
  <c r="G32" i="48"/>
  <c r="G39" i="48"/>
  <c r="F10" i="19"/>
  <c r="G38" i="19"/>
  <c r="G25" i="24" s="1"/>
  <c r="G63" i="19"/>
  <c r="G73" i="24" s="1"/>
  <c r="G41" i="24"/>
  <c r="G40" i="19"/>
  <c r="G27" i="24" s="1"/>
  <c r="G65" i="19"/>
  <c r="G75" i="24" s="1"/>
  <c r="F29" i="16"/>
  <c r="F30" i="16" s="1"/>
  <c r="F14" i="31"/>
  <c r="F15" i="31" s="1"/>
  <c r="F14" i="25"/>
  <c r="F15" i="25" s="1"/>
  <c r="F14" i="26"/>
  <c r="F15" i="26" s="1"/>
  <c r="F14" i="27"/>
  <c r="F15" i="27" s="1"/>
  <c r="F14" i="17"/>
  <c r="F15" i="17" s="1"/>
  <c r="F14" i="30"/>
  <c r="F15" i="30" s="1"/>
  <c r="F14" i="29"/>
  <c r="F15" i="29" s="1"/>
  <c r="F107" i="48"/>
  <c r="G41" i="43"/>
  <c r="Q27" i="31"/>
  <c r="Q28" i="31" s="1"/>
  <c r="N24" i="29"/>
  <c r="H25" i="29" s="1"/>
  <c r="K11" i="32"/>
  <c r="K15" i="32"/>
  <c r="G51" i="43"/>
  <c r="G32" i="43"/>
  <c r="G74" i="43"/>
  <c r="G78" i="43"/>
  <c r="S27" i="31"/>
  <c r="S28" i="31" s="1"/>
  <c r="G67" i="43"/>
  <c r="G56" i="43"/>
  <c r="G42" i="43"/>
  <c r="G28" i="43"/>
  <c r="G76" i="43"/>
  <c r="G63" i="43"/>
  <c r="G52" i="43"/>
  <c r="G38" i="43"/>
  <c r="G24" i="43"/>
  <c r="G77" i="43"/>
  <c r="G53" i="43"/>
  <c r="G25" i="43"/>
  <c r="G79" i="43"/>
  <c r="G61" i="43"/>
  <c r="G55" i="43"/>
  <c r="G33" i="43"/>
  <c r="G27" i="43"/>
  <c r="O27" i="30"/>
  <c r="O28" i="30" s="1"/>
  <c r="G43" i="43"/>
  <c r="G75" i="43"/>
  <c r="P27" i="29"/>
  <c r="P28" i="29" s="1"/>
  <c r="P27" i="17"/>
  <c r="P28" i="17" s="1"/>
  <c r="J87" i="8"/>
  <c r="J88" i="8" s="1"/>
  <c r="G65" i="43"/>
  <c r="G66" i="43"/>
  <c r="G22" i="43"/>
  <c r="G26" i="43"/>
  <c r="G53" i="48"/>
  <c r="G56" i="48"/>
  <c r="G57" i="43"/>
  <c r="Q27" i="17"/>
  <c r="Q28" i="17" s="1"/>
  <c r="G39" i="43"/>
  <c r="G79" i="48"/>
  <c r="G66" i="48"/>
  <c r="G55" i="48"/>
  <c r="G41" i="48"/>
  <c r="G27" i="48"/>
  <c r="G24" i="48"/>
  <c r="G33" i="48"/>
  <c r="G65" i="48"/>
  <c r="G73" i="48"/>
  <c r="G76" i="48"/>
  <c r="G23" i="43"/>
  <c r="G35" i="43"/>
  <c r="G40" i="43"/>
  <c r="G64" i="43"/>
  <c r="G44" i="43"/>
  <c r="G54" i="43"/>
  <c r="G73" i="43"/>
  <c r="S27" i="30"/>
  <c r="S28" i="30" s="1"/>
  <c r="P47" i="26"/>
  <c r="J15" i="32"/>
  <c r="J11" i="32"/>
  <c r="J5" i="16"/>
  <c r="J5" i="31"/>
  <c r="J5" i="25"/>
  <c r="J5" i="26"/>
  <c r="J5" i="30"/>
  <c r="J5" i="27"/>
  <c r="J5" i="29"/>
  <c r="J9" i="32"/>
  <c r="J10" i="32" s="1"/>
  <c r="J13" i="8"/>
  <c r="J14" i="8" s="1"/>
  <c r="R27" i="29"/>
  <c r="R28" i="29" s="1"/>
  <c r="R27" i="30"/>
  <c r="R28" i="30" s="1"/>
  <c r="O27" i="31"/>
  <c r="O28" i="31" s="1"/>
  <c r="J5" i="8"/>
  <c r="K10" i="8"/>
  <c r="J26" i="31"/>
  <c r="J26" i="30"/>
  <c r="J26" i="29"/>
  <c r="J51" i="8"/>
  <c r="J53" i="8" s="1"/>
  <c r="J26" i="17"/>
  <c r="J57" i="29"/>
  <c r="J20" i="29"/>
  <c r="J33" i="29" s="1"/>
  <c r="J5" i="32"/>
  <c r="G54" i="16"/>
  <c r="G51" i="16"/>
  <c r="G49" i="16"/>
  <c r="G47" i="16"/>
  <c r="G52" i="16"/>
  <c r="G48" i="16"/>
  <c r="G50" i="16"/>
  <c r="G46" i="16"/>
  <c r="G17" i="16"/>
  <c r="E44" i="27"/>
  <c r="E52" i="27" s="1"/>
  <c r="G44" i="27"/>
  <c r="G52" i="27" s="1"/>
  <c r="G115" i="24"/>
  <c r="G41" i="16" s="1"/>
  <c r="G111" i="24"/>
  <c r="G37" i="16" s="1"/>
  <c r="G85" i="24"/>
  <c r="G113" i="24"/>
  <c r="G39" i="16" s="1"/>
  <c r="G86" i="24"/>
  <c r="G57" i="24"/>
  <c r="G40" i="24"/>
  <c r="G35" i="24"/>
  <c r="G110" i="24"/>
  <c r="G36" i="16" s="1"/>
  <c r="G87" i="24"/>
  <c r="G82" i="24"/>
  <c r="G37" i="24"/>
  <c r="G25" i="19"/>
  <c r="G12" i="24" s="1"/>
  <c r="G32" i="19"/>
  <c r="G19" i="24" s="1"/>
  <c r="G39" i="19"/>
  <c r="G26" i="24" s="1"/>
  <c r="G43" i="19"/>
  <c r="G30" i="24" s="1"/>
  <c r="G53" i="19"/>
  <c r="G49" i="24" s="1"/>
  <c r="G57" i="19"/>
  <c r="G53" i="24" s="1"/>
  <c r="G64" i="19"/>
  <c r="G74" i="24" s="1"/>
  <c r="G73" i="19"/>
  <c r="G123" i="24" s="1"/>
  <c r="G77" i="19"/>
  <c r="G127" i="24" s="1"/>
  <c r="G61" i="24"/>
  <c r="G81" i="24"/>
  <c r="G23" i="19"/>
  <c r="G10" i="24" s="1"/>
  <c r="G27" i="19"/>
  <c r="G14" i="24" s="1"/>
  <c r="G35" i="19"/>
  <c r="G22" i="24" s="1"/>
  <c r="G41" i="19"/>
  <c r="G28" i="24" s="1"/>
  <c r="G51" i="19"/>
  <c r="G47" i="24" s="1"/>
  <c r="G55" i="19"/>
  <c r="G51" i="24" s="1"/>
  <c r="G62" i="19"/>
  <c r="G72" i="24" s="1"/>
  <c r="G66" i="19"/>
  <c r="G76" i="24" s="1"/>
  <c r="G75" i="19"/>
  <c r="G125" i="24" s="1"/>
  <c r="G79" i="19"/>
  <c r="G129" i="24" s="1"/>
  <c r="G58" i="24"/>
  <c r="G84" i="24"/>
  <c r="K20" i="31"/>
  <c r="K33" i="31" s="1"/>
  <c r="H1" i="24" l="1"/>
  <c r="H1" i="30"/>
  <c r="K5" i="53"/>
  <c r="G42" i="16"/>
  <c r="G43" i="16"/>
  <c r="H1" i="25"/>
  <c r="H1" i="16"/>
  <c r="H1" i="32"/>
  <c r="H1" i="53"/>
  <c r="Q38" i="31"/>
  <c r="Q39" i="31" s="1"/>
  <c r="Q42" i="31" s="1"/>
  <c r="Q38" i="53"/>
  <c r="Q39" i="53" s="1"/>
  <c r="Q42" i="53" s="1"/>
  <c r="H1" i="8"/>
  <c r="H1" i="17"/>
  <c r="H1" i="27"/>
  <c r="H1" i="31"/>
  <c r="F107" i="19"/>
  <c r="F19" i="32" s="1"/>
  <c r="F20" i="32" s="1"/>
  <c r="F23" i="19"/>
  <c r="F10" i="24" s="1"/>
  <c r="F28" i="19"/>
  <c r="F15" i="24" s="1"/>
  <c r="F88" i="19"/>
  <c r="F95" i="24" s="1"/>
  <c r="F25" i="19"/>
  <c r="F12" i="24" s="1"/>
  <c r="F22" i="19"/>
  <c r="F9" i="24" s="1"/>
  <c r="F26" i="19"/>
  <c r="F13" i="24" s="1"/>
  <c r="P92" i="19"/>
  <c r="P11" i="32" s="1"/>
  <c r="Q92" i="19"/>
  <c r="Q15" i="32" s="1"/>
  <c r="F24" i="19"/>
  <c r="F11" i="24" s="1"/>
  <c r="S92" i="19"/>
  <c r="S11" i="32" s="1"/>
  <c r="L92" i="19"/>
  <c r="L15" i="32" s="1"/>
  <c r="S90" i="19"/>
  <c r="R90" i="19"/>
  <c r="N92" i="19"/>
  <c r="N15" i="32" s="1"/>
  <c r="M92" i="19"/>
  <c r="M11" i="32" s="1"/>
  <c r="H1" i="29"/>
  <c r="F27" i="19"/>
  <c r="F14" i="24" s="1"/>
  <c r="H1" i="19"/>
  <c r="H1" i="26"/>
  <c r="O92" i="19"/>
  <c r="O11" i="32" s="1"/>
  <c r="F158" i="19"/>
  <c r="F160" i="19" s="1"/>
  <c r="N42" i="52"/>
  <c r="G145" i="24"/>
  <c r="G150" i="24"/>
  <c r="G149" i="24"/>
  <c r="G147" i="24"/>
  <c r="G148" i="24"/>
  <c r="G146" i="24"/>
  <c r="G151" i="24"/>
  <c r="Q38" i="17"/>
  <c r="Q39" i="17" s="1"/>
  <c r="Q42" i="17" s="1"/>
  <c r="Q38" i="30"/>
  <c r="Q39" i="30" s="1"/>
  <c r="Q42" i="30" s="1"/>
  <c r="Q38" i="29"/>
  <c r="Q39" i="29" s="1"/>
  <c r="Q42" i="29" s="1"/>
  <c r="Q30" i="27"/>
  <c r="Q31" i="27" s="1"/>
  <c r="Q34" i="27" s="1"/>
  <c r="J57" i="8"/>
  <c r="J73" i="8"/>
  <c r="Q30" i="25"/>
  <c r="Q31" i="25" s="1"/>
  <c r="Q34" i="25" s="1"/>
  <c r="Q30" i="26"/>
  <c r="Q31" i="26" s="1"/>
  <c r="Q34" i="26" s="1"/>
  <c r="R11" i="32"/>
  <c r="J105" i="8"/>
  <c r="J106" i="8" s="1"/>
  <c r="J20" i="8"/>
  <c r="J21" i="8" s="1"/>
  <c r="K5" i="16"/>
  <c r="K5" i="31"/>
  <c r="K5" i="25"/>
  <c r="K5" i="27"/>
  <c r="K5" i="26"/>
  <c r="K5" i="17"/>
  <c r="K5" i="30"/>
  <c r="K5" i="32"/>
  <c r="K5" i="29"/>
  <c r="K5" i="8"/>
  <c r="K9" i="32"/>
  <c r="K10" i="32" s="1"/>
  <c r="K14" i="32" s="1"/>
  <c r="L10" i="8"/>
  <c r="K5" i="44"/>
  <c r="K5" i="19"/>
  <c r="K5" i="43"/>
  <c r="K5" i="48"/>
  <c r="K13" i="8"/>
  <c r="K14" i="8" s="1"/>
  <c r="J14" i="32"/>
  <c r="J16" i="32" s="1"/>
  <c r="J34" i="53" s="1"/>
  <c r="J35" i="53" s="1"/>
  <c r="J12" i="32"/>
  <c r="G10" i="29" l="1"/>
  <c r="G20" i="29" s="1"/>
  <c r="G33" i="29" s="1"/>
  <c r="G10" i="25"/>
  <c r="G20" i="25" s="1"/>
  <c r="G25" i="25" s="1"/>
  <c r="G10" i="17"/>
  <c r="G20" i="17" s="1"/>
  <c r="G33" i="17" s="1"/>
  <c r="G10" i="27"/>
  <c r="G20" i="27" s="1"/>
  <c r="G25" i="27" s="1"/>
  <c r="G10" i="30"/>
  <c r="G20" i="30" s="1"/>
  <c r="G33" i="30" s="1"/>
  <c r="L5" i="53"/>
  <c r="G10" i="26"/>
  <c r="G20" i="26" s="1"/>
  <c r="G25" i="26" s="1"/>
  <c r="J61" i="53"/>
  <c r="J29" i="53"/>
  <c r="J30" i="53" s="1"/>
  <c r="J49" i="53" s="1"/>
  <c r="G10" i="31"/>
  <c r="G20" i="31" s="1"/>
  <c r="G33" i="31" s="1"/>
  <c r="G10" i="53"/>
  <c r="G20" i="53" s="1"/>
  <c r="G33" i="53" s="1"/>
  <c r="J16" i="53"/>
  <c r="J17" i="53" s="1"/>
  <c r="L18" i="53" s="1"/>
  <c r="J4" i="53"/>
  <c r="S38" i="31"/>
  <c r="S39" i="31" s="1"/>
  <c r="S42" i="31" s="1"/>
  <c r="S38" i="53"/>
  <c r="S39" i="53" s="1"/>
  <c r="S42" i="53" s="1"/>
  <c r="J45" i="53"/>
  <c r="J41" i="53"/>
  <c r="J43" i="53" s="1"/>
  <c r="R38" i="30"/>
  <c r="R39" i="30" s="1"/>
  <c r="R42" i="30" s="1"/>
  <c r="R38" i="53"/>
  <c r="R39" i="53" s="1"/>
  <c r="R42" i="53" s="1"/>
  <c r="R30" i="26"/>
  <c r="R31" i="26" s="1"/>
  <c r="R34" i="26" s="1"/>
  <c r="Q11" i="32"/>
  <c r="R38" i="17"/>
  <c r="R39" i="17" s="1"/>
  <c r="R42" i="17" s="1"/>
  <c r="R30" i="27"/>
  <c r="R31" i="27" s="1"/>
  <c r="R34" i="27" s="1"/>
  <c r="R30" i="25"/>
  <c r="R31" i="25" s="1"/>
  <c r="R34" i="25" s="1"/>
  <c r="F47" i="27"/>
  <c r="F55" i="27"/>
  <c r="R38" i="29"/>
  <c r="R39" i="29" s="1"/>
  <c r="R42" i="29" s="1"/>
  <c r="P15" i="32"/>
  <c r="R38" i="31"/>
  <c r="R39" i="31" s="1"/>
  <c r="R42" i="31" s="1"/>
  <c r="O15" i="32"/>
  <c r="L11" i="32"/>
  <c r="S15" i="32"/>
  <c r="S38" i="29"/>
  <c r="S39" i="29" s="1"/>
  <c r="S42" i="29" s="1"/>
  <c r="F65" i="19"/>
  <c r="F75" i="24" s="1"/>
  <c r="F32" i="19"/>
  <c r="F19" i="24" s="1"/>
  <c r="S38" i="17"/>
  <c r="S39" i="17" s="1"/>
  <c r="S42" i="17" s="1"/>
  <c r="F78" i="19"/>
  <c r="F128" i="24" s="1"/>
  <c r="F62" i="19"/>
  <c r="F72" i="24" s="1"/>
  <c r="F61" i="19"/>
  <c r="F71" i="24" s="1"/>
  <c r="F57" i="19"/>
  <c r="F53" i="24" s="1"/>
  <c r="F56" i="19"/>
  <c r="F52" i="24" s="1"/>
  <c r="F79" i="19"/>
  <c r="F129" i="24" s="1"/>
  <c r="S30" i="27"/>
  <c r="S31" i="27" s="1"/>
  <c r="S34" i="27" s="1"/>
  <c r="F63" i="19"/>
  <c r="F73" i="24" s="1"/>
  <c r="F64" i="19"/>
  <c r="F74" i="24" s="1"/>
  <c r="F51" i="19"/>
  <c r="F47" i="24" s="1"/>
  <c r="F40" i="19"/>
  <c r="F27" i="24" s="1"/>
  <c r="F76" i="19"/>
  <c r="F126" i="24" s="1"/>
  <c r="F75" i="19"/>
  <c r="F125" i="24" s="1"/>
  <c r="F86" i="19"/>
  <c r="F93" i="24" s="1"/>
  <c r="F103" i="24" s="1"/>
  <c r="F54" i="19"/>
  <c r="F50" i="24" s="1"/>
  <c r="F43" i="19"/>
  <c r="F30" i="24" s="1"/>
  <c r="F40" i="24" s="1"/>
  <c r="S30" i="26"/>
  <c r="S31" i="26" s="1"/>
  <c r="S34" i="26" s="1"/>
  <c r="F38" i="19"/>
  <c r="F25" i="24" s="1"/>
  <c r="F35" i="24" s="1"/>
  <c r="S30" i="25"/>
  <c r="S31" i="25" s="1"/>
  <c r="S34" i="25" s="1"/>
  <c r="F55" i="19"/>
  <c r="F51" i="24" s="1"/>
  <c r="F52" i="19"/>
  <c r="F48" i="24" s="1"/>
  <c r="S38" i="30"/>
  <c r="S39" i="30" s="1"/>
  <c r="S42" i="30" s="1"/>
  <c r="F44" i="19"/>
  <c r="F31" i="24" s="1"/>
  <c r="F41" i="24" s="1"/>
  <c r="F42" i="19"/>
  <c r="F29" i="24" s="1"/>
  <c r="F66" i="19"/>
  <c r="F76" i="24" s="1"/>
  <c r="F73" i="19"/>
  <c r="F123" i="24" s="1"/>
  <c r="F41" i="19"/>
  <c r="F28" i="24" s="1"/>
  <c r="F38" i="24" s="1"/>
  <c r="N11" i="32"/>
  <c r="F74" i="19"/>
  <c r="F124" i="24" s="1"/>
  <c r="F77" i="19"/>
  <c r="F127" i="24" s="1"/>
  <c r="F35" i="19"/>
  <c r="F22" i="24" s="1"/>
  <c r="M15" i="32"/>
  <c r="F53" i="19"/>
  <c r="F49" i="24" s="1"/>
  <c r="F39" i="19"/>
  <c r="F26" i="24" s="1"/>
  <c r="F33" i="19"/>
  <c r="F20" i="24" s="1"/>
  <c r="F87" i="19"/>
  <c r="F94" i="24" s="1"/>
  <c r="F67" i="19"/>
  <c r="F77" i="24" s="1"/>
  <c r="F47" i="8"/>
  <c r="F162" i="19"/>
  <c r="F60" i="8" s="1"/>
  <c r="K16" i="32"/>
  <c r="K12" i="32"/>
  <c r="L5" i="16"/>
  <c r="L5" i="31"/>
  <c r="L5" i="27"/>
  <c r="L5" i="25"/>
  <c r="L5" i="26"/>
  <c r="L5" i="29"/>
  <c r="L5" i="30"/>
  <c r="L5" i="17"/>
  <c r="L13" i="8"/>
  <c r="L14" i="8" s="1"/>
  <c r="M10" i="8"/>
  <c r="L9" i="32"/>
  <c r="L10" i="32" s="1"/>
  <c r="L5" i="32"/>
  <c r="L5" i="8"/>
  <c r="L5" i="44"/>
  <c r="L5" i="43"/>
  <c r="L5" i="48"/>
  <c r="L5" i="19"/>
  <c r="J61" i="31"/>
  <c r="J29" i="31"/>
  <c r="J30" i="31" s="1"/>
  <c r="J49" i="31" s="1"/>
  <c r="J29" i="30"/>
  <c r="J30" i="30" s="1"/>
  <c r="J29" i="17"/>
  <c r="J30" i="17" s="1"/>
  <c r="J61" i="17"/>
  <c r="J61" i="30"/>
  <c r="J29" i="29"/>
  <c r="J30" i="29" s="1"/>
  <c r="J61" i="29"/>
  <c r="J22" i="8"/>
  <c r="J25" i="8"/>
  <c r="J34" i="31"/>
  <c r="J35" i="31" s="1"/>
  <c r="J26" i="26"/>
  <c r="J27" i="26" s="1"/>
  <c r="J26" i="25"/>
  <c r="J27" i="25" s="1"/>
  <c r="J26" i="27"/>
  <c r="J27" i="27" s="1"/>
  <c r="J43" i="27"/>
  <c r="J44" i="27" s="1"/>
  <c r="J52" i="27" s="1"/>
  <c r="J34" i="30"/>
  <c r="J35" i="30" s="1"/>
  <c r="J34" i="17"/>
  <c r="J35" i="17" s="1"/>
  <c r="J34" i="29"/>
  <c r="J35" i="29" s="1"/>
  <c r="K105" i="8"/>
  <c r="K20" i="8"/>
  <c r="J31" i="16"/>
  <c r="J32" i="16" s="1"/>
  <c r="K33" i="16" s="1"/>
  <c r="J4" i="31"/>
  <c r="J4" i="16"/>
  <c r="J16" i="31"/>
  <c r="J17" i="31" s="1"/>
  <c r="L18" i="31" s="1"/>
  <c r="J16" i="25"/>
  <c r="J17" i="25" s="1"/>
  <c r="L18" i="25" s="1"/>
  <c r="L20" i="25" s="1"/>
  <c r="L25" i="25" s="1"/>
  <c r="J4" i="25"/>
  <c r="J4" i="27"/>
  <c r="J16" i="26"/>
  <c r="J17" i="26" s="1"/>
  <c r="L18" i="26" s="1"/>
  <c r="L20" i="26" s="1"/>
  <c r="L25" i="26" s="1"/>
  <c r="J4" i="26"/>
  <c r="J16" i="27"/>
  <c r="J17" i="27" s="1"/>
  <c r="L18" i="27" s="1"/>
  <c r="L20" i="27" s="1"/>
  <c r="L25" i="27" s="1"/>
  <c r="J16" i="17"/>
  <c r="J17" i="17" s="1"/>
  <c r="L18" i="17" s="1"/>
  <c r="J4" i="32"/>
  <c r="J4" i="30"/>
  <c r="J4" i="29"/>
  <c r="J4" i="17"/>
  <c r="J16" i="30"/>
  <c r="J17" i="30" s="1"/>
  <c r="L18" i="30" s="1"/>
  <c r="J16" i="29"/>
  <c r="J17" i="29" s="1"/>
  <c r="L18" i="29" s="1"/>
  <c r="J4" i="19"/>
  <c r="J4" i="8"/>
  <c r="J4" i="44"/>
  <c r="J4" i="43"/>
  <c r="J4" i="48"/>
  <c r="F37" i="24" l="1"/>
  <c r="F59" i="24" s="1"/>
  <c r="F83" i="24" s="1"/>
  <c r="F36" i="24"/>
  <c r="F58" i="24" s="1"/>
  <c r="F82" i="24" s="1"/>
  <c r="F39" i="24"/>
  <c r="F62" i="24"/>
  <c r="F86" i="24" s="1"/>
  <c r="F60" i="24"/>
  <c r="F84" i="24" s="1"/>
  <c r="F57" i="24"/>
  <c r="F81" i="24" s="1"/>
  <c r="F133" i="24" s="1"/>
  <c r="F63" i="24"/>
  <c r="F87" i="24" s="1"/>
  <c r="F139" i="24" s="1"/>
  <c r="F151" i="24" s="1"/>
  <c r="F61" i="24"/>
  <c r="F85" i="24" s="1"/>
  <c r="F137" i="24" s="1"/>
  <c r="F117" i="24"/>
  <c r="F43" i="16" s="1"/>
  <c r="M5" i="53"/>
  <c r="J2" i="53"/>
  <c r="K29" i="31"/>
  <c r="K29" i="53"/>
  <c r="K61" i="53"/>
  <c r="K26" i="27"/>
  <c r="K27" i="27" s="1"/>
  <c r="K33" i="27" s="1"/>
  <c r="K35" i="27" s="1"/>
  <c r="K38" i="27" s="1"/>
  <c r="K34" i="53"/>
  <c r="K35" i="53" s="1"/>
  <c r="J46" i="53"/>
  <c r="J47" i="53" s="1"/>
  <c r="J50" i="53" s="1"/>
  <c r="J51" i="53" s="1"/>
  <c r="L20" i="53"/>
  <c r="L33" i="53" s="1"/>
  <c r="L57" i="53"/>
  <c r="Q49" i="27"/>
  <c r="Q51" i="27" s="1"/>
  <c r="R49" i="27"/>
  <c r="R51" i="27" s="1"/>
  <c r="S49" i="27"/>
  <c r="S51" i="27" s="1"/>
  <c r="J49" i="27"/>
  <c r="J51" i="27" s="1"/>
  <c r="J53" i="27" s="1"/>
  <c r="J56" i="27" s="1"/>
  <c r="J57" i="27" s="1"/>
  <c r="J17" i="16" s="1"/>
  <c r="K49" i="27"/>
  <c r="K51" i="27" s="1"/>
  <c r="L49" i="27"/>
  <c r="L51" i="27" s="1"/>
  <c r="M49" i="27"/>
  <c r="M51" i="27" s="1"/>
  <c r="N49" i="27"/>
  <c r="N51" i="27" s="1"/>
  <c r="O49" i="27"/>
  <c r="O51" i="27" s="1"/>
  <c r="P49" i="27"/>
  <c r="P51" i="27" s="1"/>
  <c r="X49" i="27"/>
  <c r="X51" i="27" s="1"/>
  <c r="V49" i="27"/>
  <c r="V51" i="27" s="1"/>
  <c r="W49" i="27"/>
  <c r="W51" i="27" s="1"/>
  <c r="U49" i="27"/>
  <c r="U51" i="27" s="1"/>
  <c r="T49" i="27"/>
  <c r="T51" i="27" s="1"/>
  <c r="F99" i="24"/>
  <c r="F107" i="24"/>
  <c r="F100" i="24"/>
  <c r="F98" i="24"/>
  <c r="F110" i="24" s="1"/>
  <c r="F102" i="24"/>
  <c r="F101" i="24"/>
  <c r="F106" i="24"/>
  <c r="J61" i="8"/>
  <c r="J62" i="8" s="1"/>
  <c r="K34" i="29"/>
  <c r="K35" i="29" s="1"/>
  <c r="K41" i="29" s="1"/>
  <c r="K43" i="29" s="1"/>
  <c r="K46" i="29" s="1"/>
  <c r="K34" i="17"/>
  <c r="K35" i="17" s="1"/>
  <c r="K45" i="17" s="1"/>
  <c r="K29" i="17"/>
  <c r="K61" i="29"/>
  <c r="K26" i="25"/>
  <c r="K27" i="25" s="1"/>
  <c r="K37" i="25" s="1"/>
  <c r="K29" i="29"/>
  <c r="K61" i="30"/>
  <c r="K26" i="26"/>
  <c r="K27" i="26" s="1"/>
  <c r="K37" i="26" s="1"/>
  <c r="K43" i="27"/>
  <c r="K44" i="27" s="1"/>
  <c r="K52" i="27" s="1"/>
  <c r="K34" i="31"/>
  <c r="K35" i="31" s="1"/>
  <c r="K41" i="31" s="1"/>
  <c r="K43" i="31" s="1"/>
  <c r="K46" i="31" s="1"/>
  <c r="K61" i="17"/>
  <c r="K29" i="30"/>
  <c r="K61" i="31"/>
  <c r="K34" i="30"/>
  <c r="K35" i="30" s="1"/>
  <c r="K45" i="30" s="1"/>
  <c r="J33" i="26"/>
  <c r="J35" i="26" s="1"/>
  <c r="J37" i="26"/>
  <c r="J41" i="31"/>
  <c r="J43" i="31" s="1"/>
  <c r="J45" i="31"/>
  <c r="J45" i="29"/>
  <c r="J41" i="29"/>
  <c r="J43" i="29" s="1"/>
  <c r="J49" i="17"/>
  <c r="L57" i="31"/>
  <c r="L20" i="31"/>
  <c r="L33" i="31" s="1"/>
  <c r="J45" i="17"/>
  <c r="J41" i="17"/>
  <c r="J43" i="17" s="1"/>
  <c r="J49" i="30"/>
  <c r="L20" i="17"/>
  <c r="L33" i="17" s="1"/>
  <c r="L57" i="17"/>
  <c r="J41" i="30"/>
  <c r="J43" i="30" s="1"/>
  <c r="J45" i="30"/>
  <c r="L14" i="32"/>
  <c r="L16" i="32" s="1"/>
  <c r="L34" i="53" s="1"/>
  <c r="L12" i="32"/>
  <c r="J2" i="16"/>
  <c r="J2" i="31"/>
  <c r="J2" i="25"/>
  <c r="J2" i="27"/>
  <c r="J2" i="26"/>
  <c r="J2" i="29"/>
  <c r="J2" i="30"/>
  <c r="J2" i="17"/>
  <c r="J2" i="32"/>
  <c r="J2" i="8"/>
  <c r="J104" i="8"/>
  <c r="J48" i="8"/>
  <c r="J24" i="8"/>
  <c r="J26" i="8" s="1"/>
  <c r="J2" i="43"/>
  <c r="J2" i="44"/>
  <c r="J38" i="8"/>
  <c r="J39" i="8" s="1"/>
  <c r="J2" i="48"/>
  <c r="J32" i="8"/>
  <c r="J2" i="19"/>
  <c r="M5" i="16"/>
  <c r="M5" i="31"/>
  <c r="M5" i="27"/>
  <c r="M5" i="26"/>
  <c r="M5" i="30"/>
  <c r="M5" i="17"/>
  <c r="M5" i="29"/>
  <c r="M9" i="32"/>
  <c r="M10" i="32" s="1"/>
  <c r="M5" i="25"/>
  <c r="M5" i="19"/>
  <c r="M5" i="44"/>
  <c r="M5" i="32"/>
  <c r="N10" i="8"/>
  <c r="M5" i="8"/>
  <c r="M13" i="8"/>
  <c r="M14" i="8" s="1"/>
  <c r="M5" i="48"/>
  <c r="M5" i="43"/>
  <c r="L20" i="29"/>
  <c r="L33" i="29" s="1"/>
  <c r="L57" i="29"/>
  <c r="J37" i="27"/>
  <c r="J33" i="27"/>
  <c r="J35" i="27" s="1"/>
  <c r="L105" i="8"/>
  <c r="L20" i="8"/>
  <c r="L57" i="30"/>
  <c r="L20" i="30"/>
  <c r="L33" i="30" s="1"/>
  <c r="K21" i="8"/>
  <c r="J33" i="25"/>
  <c r="J35" i="25" s="1"/>
  <c r="J37" i="25"/>
  <c r="J49" i="29"/>
  <c r="K53" i="16" l="1"/>
  <c r="J53" i="16"/>
  <c r="F116" i="24"/>
  <c r="F42" i="16" s="1"/>
  <c r="F115" i="24"/>
  <c r="F41" i="16" s="1"/>
  <c r="F145" i="24"/>
  <c r="F113" i="24"/>
  <c r="F39" i="16" s="1"/>
  <c r="F112" i="24"/>
  <c r="F38" i="16" s="1"/>
  <c r="K48" i="16" s="1"/>
  <c r="F111" i="24"/>
  <c r="F114" i="24"/>
  <c r="F40" i="16" s="1"/>
  <c r="N5" i="53"/>
  <c r="F135" i="24"/>
  <c r="F147" i="24" s="1"/>
  <c r="F138" i="24"/>
  <c r="F150" i="24" s="1"/>
  <c r="F136" i="24"/>
  <c r="F148" i="24" s="1"/>
  <c r="F149" i="24"/>
  <c r="F134" i="24"/>
  <c r="F146" i="24" s="1"/>
  <c r="F36" i="16"/>
  <c r="K46" i="16" s="1"/>
  <c r="K37" i="27"/>
  <c r="K39" i="27" s="1"/>
  <c r="K42" i="27" s="1"/>
  <c r="L35" i="53"/>
  <c r="J54" i="53"/>
  <c r="K55" i="53" s="1"/>
  <c r="K60" i="53" s="1"/>
  <c r="K45" i="53"/>
  <c r="K41" i="53"/>
  <c r="K43" i="53" s="1"/>
  <c r="F10" i="31"/>
  <c r="L29" i="53"/>
  <c r="L61" i="53"/>
  <c r="K53" i="27"/>
  <c r="K56" i="27" s="1"/>
  <c r="K57" i="27" s="1"/>
  <c r="K17" i="16" s="1"/>
  <c r="K45" i="29"/>
  <c r="K47" i="29" s="1"/>
  <c r="K50" i="29" s="1"/>
  <c r="K33" i="25"/>
  <c r="K35" i="25" s="1"/>
  <c r="K38" i="25" s="1"/>
  <c r="K39" i="25" s="1"/>
  <c r="K41" i="30"/>
  <c r="K43" i="30" s="1"/>
  <c r="K46" i="30" s="1"/>
  <c r="K47" i="30" s="1"/>
  <c r="K50" i="30" s="1"/>
  <c r="K41" i="17"/>
  <c r="K43" i="17" s="1"/>
  <c r="K46" i="17" s="1"/>
  <c r="K47" i="17" s="1"/>
  <c r="K50" i="17" s="1"/>
  <c r="J65" i="8"/>
  <c r="J69" i="8"/>
  <c r="K33" i="26"/>
  <c r="K35" i="26" s="1"/>
  <c r="K38" i="26" s="1"/>
  <c r="K39" i="26" s="1"/>
  <c r="K45" i="31"/>
  <c r="K47" i="31" s="1"/>
  <c r="K50" i="31" s="1"/>
  <c r="J38" i="25"/>
  <c r="J39" i="25" s="1"/>
  <c r="M20" i="8"/>
  <c r="M105" i="8"/>
  <c r="N5" i="16"/>
  <c r="N5" i="25"/>
  <c r="N5" i="27"/>
  <c r="N5" i="26"/>
  <c r="N5" i="31"/>
  <c r="N5" i="30"/>
  <c r="N5" i="17"/>
  <c r="O10" i="8"/>
  <c r="N5" i="29"/>
  <c r="N9" i="32"/>
  <c r="N10" i="32" s="1"/>
  <c r="N5" i="43"/>
  <c r="N5" i="8"/>
  <c r="N5" i="48"/>
  <c r="N5" i="32"/>
  <c r="N13" i="8"/>
  <c r="N14" i="8" s="1"/>
  <c r="N5" i="19"/>
  <c r="N5" i="44"/>
  <c r="J46" i="30"/>
  <c r="J47" i="30" s="1"/>
  <c r="J50" i="30" s="1"/>
  <c r="J51" i="30" s="1"/>
  <c r="J46" i="29"/>
  <c r="J47" i="29" s="1"/>
  <c r="J50" i="29" s="1"/>
  <c r="J51" i="29" s="1"/>
  <c r="J38" i="26"/>
  <c r="J39" i="26" s="1"/>
  <c r="J42" i="26" s="1"/>
  <c r="J44" i="26" s="1"/>
  <c r="J48" i="26" s="1"/>
  <c r="J38" i="27"/>
  <c r="J39" i="27" s="1"/>
  <c r="L29" i="31"/>
  <c r="L61" i="31"/>
  <c r="L29" i="30"/>
  <c r="L61" i="30"/>
  <c r="L29" i="17"/>
  <c r="L61" i="17"/>
  <c r="L61" i="29"/>
  <c r="L29" i="29"/>
  <c r="J46" i="17"/>
  <c r="J47" i="17" s="1"/>
  <c r="J50" i="17" s="1"/>
  <c r="J51" i="17" s="1"/>
  <c r="L34" i="31"/>
  <c r="L35" i="31" s="1"/>
  <c r="L43" i="27"/>
  <c r="L26" i="26"/>
  <c r="L27" i="26" s="1"/>
  <c r="L26" i="25"/>
  <c r="L27" i="25" s="1"/>
  <c r="L26" i="27"/>
  <c r="L27" i="27" s="1"/>
  <c r="L34" i="30"/>
  <c r="L35" i="30" s="1"/>
  <c r="L34" i="17"/>
  <c r="L35" i="17" s="1"/>
  <c r="L34" i="29"/>
  <c r="L35" i="29" s="1"/>
  <c r="J49" i="8"/>
  <c r="J66" i="8" s="1"/>
  <c r="J77" i="8" s="1"/>
  <c r="J46" i="31"/>
  <c r="J47" i="31" s="1"/>
  <c r="J50" i="31" s="1"/>
  <c r="J51" i="31" s="1"/>
  <c r="M14" i="32"/>
  <c r="M16" i="32" s="1"/>
  <c r="M34" i="53" s="1"/>
  <c r="M12" i="32"/>
  <c r="J33" i="8"/>
  <c r="J34" i="8"/>
  <c r="K25" i="8"/>
  <c r="K22" i="8"/>
  <c r="F118" i="24" l="1"/>
  <c r="F44" i="16" s="1"/>
  <c r="J54" i="16" s="1"/>
  <c r="K50" i="16"/>
  <c r="J50" i="16"/>
  <c r="J49" i="16"/>
  <c r="K49" i="16"/>
  <c r="J51" i="16"/>
  <c r="K51" i="16"/>
  <c r="J52" i="16"/>
  <c r="K52" i="16"/>
  <c r="J48" i="16"/>
  <c r="F37" i="16"/>
  <c r="O5" i="53"/>
  <c r="K2" i="53"/>
  <c r="F10" i="26"/>
  <c r="F153" i="24"/>
  <c r="F10" i="17"/>
  <c r="F10" i="27"/>
  <c r="F10" i="25"/>
  <c r="F10" i="30"/>
  <c r="J46" i="16"/>
  <c r="J58" i="31"/>
  <c r="J66" i="31" s="1"/>
  <c r="J67" i="31" s="1"/>
  <c r="J13" i="16" s="1"/>
  <c r="J58" i="53"/>
  <c r="K58" i="53" s="1"/>
  <c r="L58" i="53" s="1"/>
  <c r="L41" i="53"/>
  <c r="L43" i="53" s="1"/>
  <c r="L46" i="53" s="1"/>
  <c r="L45" i="53"/>
  <c r="M61" i="53"/>
  <c r="M29" i="53"/>
  <c r="K46" i="53"/>
  <c r="K47" i="53" s="1"/>
  <c r="K50" i="53" s="1"/>
  <c r="K42" i="26"/>
  <c r="K44" i="26" s="1"/>
  <c r="K48" i="26" s="1"/>
  <c r="K49" i="26" s="1"/>
  <c r="K20" i="16" s="1"/>
  <c r="K41" i="25"/>
  <c r="K45" i="25" s="1"/>
  <c r="F10" i="29"/>
  <c r="J58" i="29" s="1"/>
  <c r="K58" i="29" s="1"/>
  <c r="K62" i="29" s="1"/>
  <c r="K63" i="29" s="1"/>
  <c r="K65" i="29" s="1"/>
  <c r="K61" i="8"/>
  <c r="K62" i="8" s="1"/>
  <c r="J56" i="8"/>
  <c r="J58" i="8" s="1"/>
  <c r="J72" i="8"/>
  <c r="J74" i="8" s="1"/>
  <c r="J78" i="8" s="1"/>
  <c r="J79" i="8" s="1"/>
  <c r="J54" i="30"/>
  <c r="K55" i="30" s="1"/>
  <c r="K60" i="30" s="1"/>
  <c r="J49" i="26"/>
  <c r="J20" i="16" s="1"/>
  <c r="L45" i="29"/>
  <c r="L41" i="29"/>
  <c r="L43" i="29" s="1"/>
  <c r="J42" i="27"/>
  <c r="J54" i="17"/>
  <c r="K55" i="17" s="1"/>
  <c r="K60" i="17" s="1"/>
  <c r="L45" i="17"/>
  <c r="L41" i="17"/>
  <c r="L43" i="17" s="1"/>
  <c r="J44" i="8"/>
  <c r="K45" i="8" s="1"/>
  <c r="N14" i="32"/>
  <c r="N16" i="32" s="1"/>
  <c r="N34" i="53" s="1"/>
  <c r="N12" i="32"/>
  <c r="J52" i="8"/>
  <c r="J84" i="8"/>
  <c r="K85" i="8" s="1"/>
  <c r="K64" i="8" s="1"/>
  <c r="K2" i="16"/>
  <c r="K2" i="31"/>
  <c r="K2" i="26"/>
  <c r="K2" i="25"/>
  <c r="K2" i="32"/>
  <c r="K2" i="30"/>
  <c r="K2" i="27"/>
  <c r="K2" i="29"/>
  <c r="K24" i="8"/>
  <c r="K26" i="8" s="1"/>
  <c r="K2" i="17"/>
  <c r="K48" i="8"/>
  <c r="K104" i="8"/>
  <c r="K106" i="8" s="1"/>
  <c r="K32" i="8"/>
  <c r="K2" i="8"/>
  <c r="K38" i="8"/>
  <c r="K39" i="8" s="1"/>
  <c r="K2" i="43"/>
  <c r="K2" i="48"/>
  <c r="K2" i="19"/>
  <c r="K2" i="44"/>
  <c r="L33" i="27"/>
  <c r="L35" i="27" s="1"/>
  <c r="L37" i="27"/>
  <c r="J54" i="31"/>
  <c r="K55" i="31" s="1"/>
  <c r="K60" i="31" s="1"/>
  <c r="N20" i="8"/>
  <c r="N105" i="8"/>
  <c r="M34" i="31"/>
  <c r="M26" i="25"/>
  <c r="M26" i="26"/>
  <c r="M43" i="27"/>
  <c r="M26" i="27"/>
  <c r="M34" i="30"/>
  <c r="M34" i="29"/>
  <c r="M34" i="17"/>
  <c r="L33" i="26"/>
  <c r="L35" i="26" s="1"/>
  <c r="L37" i="26"/>
  <c r="L41" i="31"/>
  <c r="L43" i="31" s="1"/>
  <c r="L45" i="31"/>
  <c r="J54" i="29"/>
  <c r="K55" i="29" s="1"/>
  <c r="K60" i="29" s="1"/>
  <c r="L21" i="8"/>
  <c r="J41" i="25"/>
  <c r="J45" i="25" s="1"/>
  <c r="O5" i="31"/>
  <c r="O5" i="16"/>
  <c r="O5" i="26"/>
  <c r="O5" i="25"/>
  <c r="O5" i="27"/>
  <c r="O5" i="32"/>
  <c r="O5" i="17"/>
  <c r="O5" i="30"/>
  <c r="O5" i="29"/>
  <c r="O13" i="8"/>
  <c r="O14" i="8" s="1"/>
  <c r="O5" i="8"/>
  <c r="O9" i="32"/>
  <c r="O10" i="32" s="1"/>
  <c r="O5" i="19"/>
  <c r="O5" i="48"/>
  <c r="P10" i="8"/>
  <c r="O5" i="44"/>
  <c r="O5" i="43"/>
  <c r="L41" i="30"/>
  <c r="L43" i="30" s="1"/>
  <c r="L45" i="30"/>
  <c r="M61" i="31"/>
  <c r="M29" i="31"/>
  <c r="M29" i="30"/>
  <c r="M61" i="17"/>
  <c r="M61" i="30"/>
  <c r="M29" i="29"/>
  <c r="M29" i="17"/>
  <c r="M61" i="29"/>
  <c r="L37" i="25"/>
  <c r="L33" i="25"/>
  <c r="L35" i="25" s="1"/>
  <c r="K54" i="16" l="1"/>
  <c r="J47" i="16"/>
  <c r="K47" i="16"/>
  <c r="P5" i="53"/>
  <c r="J3" i="53"/>
  <c r="J58" i="30"/>
  <c r="J58" i="17"/>
  <c r="K58" i="31"/>
  <c r="K66" i="31" s="1"/>
  <c r="K67" i="31" s="1"/>
  <c r="K13" i="16" s="1"/>
  <c r="J62" i="31"/>
  <c r="J63" i="31" s="1"/>
  <c r="J65" i="31" s="1"/>
  <c r="L62" i="53"/>
  <c r="L63" i="53" s="1"/>
  <c r="L65" i="53" s="1"/>
  <c r="L66" i="53"/>
  <c r="L67" i="53" s="1"/>
  <c r="L14" i="16" s="1"/>
  <c r="K68" i="8"/>
  <c r="K70" i="8" s="1"/>
  <c r="K26" i="53"/>
  <c r="K30" i="53" s="1"/>
  <c r="K49" i="53" s="1"/>
  <c r="K51" i="53" s="1"/>
  <c r="L47" i="53"/>
  <c r="L50" i="53" s="1"/>
  <c r="K4" i="53"/>
  <c r="K16" i="53"/>
  <c r="K17" i="53" s="1"/>
  <c r="M18" i="53" s="1"/>
  <c r="J62" i="53"/>
  <c r="J63" i="53" s="1"/>
  <c r="J65" i="53" s="1"/>
  <c r="J66" i="53"/>
  <c r="J67" i="53" s="1"/>
  <c r="J14" i="16" s="1"/>
  <c r="K66" i="53"/>
  <c r="K67" i="53" s="1"/>
  <c r="K14" i="16" s="1"/>
  <c r="K62" i="53"/>
  <c r="K63" i="53" s="1"/>
  <c r="K65" i="53" s="1"/>
  <c r="N61" i="53"/>
  <c r="N29" i="53"/>
  <c r="J46" i="25"/>
  <c r="J52" i="25" s="1"/>
  <c r="J47" i="25"/>
  <c r="J53" i="25" s="1"/>
  <c r="K47" i="25"/>
  <c r="K53" i="25" s="1"/>
  <c r="K46" i="25"/>
  <c r="K52" i="25" s="1"/>
  <c r="L58" i="29"/>
  <c r="L62" i="29" s="1"/>
  <c r="L63" i="29" s="1"/>
  <c r="L65" i="29" s="1"/>
  <c r="J66" i="29"/>
  <c r="J67" i="29" s="1"/>
  <c r="J10" i="16" s="1"/>
  <c r="J62" i="29"/>
  <c r="J63" i="29" s="1"/>
  <c r="J65" i="29" s="1"/>
  <c r="K66" i="29"/>
  <c r="K67" i="29" s="1"/>
  <c r="K10" i="16" s="1"/>
  <c r="K65" i="8"/>
  <c r="K69" i="8"/>
  <c r="L25" i="8"/>
  <c r="L22" i="8"/>
  <c r="P5" i="16"/>
  <c r="P5" i="26"/>
  <c r="P5" i="25"/>
  <c r="P5" i="27"/>
  <c r="P5" i="31"/>
  <c r="P5" i="17"/>
  <c r="P5" i="30"/>
  <c r="P5" i="29"/>
  <c r="P9" i="32"/>
  <c r="P10" i="32" s="1"/>
  <c r="P5" i="8"/>
  <c r="P5" i="19"/>
  <c r="P13" i="8"/>
  <c r="P14" i="8" s="1"/>
  <c r="P5" i="48"/>
  <c r="P5" i="32"/>
  <c r="P5" i="44"/>
  <c r="P5" i="43"/>
  <c r="Q10" i="8"/>
  <c r="L38" i="27"/>
  <c r="L39" i="27" s="1"/>
  <c r="K4" i="31"/>
  <c r="K31" i="16"/>
  <c r="K32" i="16" s="1"/>
  <c r="L33" i="16" s="1"/>
  <c r="L53" i="16" s="1"/>
  <c r="K4" i="16"/>
  <c r="K16" i="31"/>
  <c r="K17" i="31" s="1"/>
  <c r="M18" i="31" s="1"/>
  <c r="K16" i="26"/>
  <c r="K17" i="26" s="1"/>
  <c r="M18" i="26" s="1"/>
  <c r="M20" i="26" s="1"/>
  <c r="M25" i="26" s="1"/>
  <c r="M27" i="26" s="1"/>
  <c r="K4" i="26"/>
  <c r="K16" i="27"/>
  <c r="K17" i="27" s="1"/>
  <c r="M18" i="27" s="1"/>
  <c r="M20" i="27" s="1"/>
  <c r="M25" i="27" s="1"/>
  <c r="M27" i="27" s="1"/>
  <c r="K4" i="25"/>
  <c r="K16" i="25"/>
  <c r="K17" i="25" s="1"/>
  <c r="M18" i="25" s="1"/>
  <c r="M20" i="25" s="1"/>
  <c r="M25" i="25" s="1"/>
  <c r="M27" i="25" s="1"/>
  <c r="K16" i="29"/>
  <c r="K17" i="29" s="1"/>
  <c r="M18" i="29" s="1"/>
  <c r="K4" i="27"/>
  <c r="K16" i="17"/>
  <c r="K17" i="17" s="1"/>
  <c r="M18" i="17" s="1"/>
  <c r="K4" i="17"/>
  <c r="K4" i="32"/>
  <c r="K16" i="30"/>
  <c r="K17" i="30" s="1"/>
  <c r="M18" i="30" s="1"/>
  <c r="K4" i="30"/>
  <c r="K4" i="8"/>
  <c r="K4" i="44"/>
  <c r="K4" i="48"/>
  <c r="K4" i="43"/>
  <c r="K4" i="19"/>
  <c r="K4" i="29"/>
  <c r="N34" i="31"/>
  <c r="N26" i="25"/>
  <c r="N26" i="26"/>
  <c r="N34" i="30"/>
  <c r="N34" i="17"/>
  <c r="N43" i="27"/>
  <c r="N26" i="27"/>
  <c r="N34" i="29"/>
  <c r="L38" i="25"/>
  <c r="L39" i="25" s="1"/>
  <c r="K49" i="8"/>
  <c r="K66" i="8" s="1"/>
  <c r="K77" i="8" s="1"/>
  <c r="K26" i="31"/>
  <c r="K30" i="31" s="1"/>
  <c r="K49" i="31" s="1"/>
  <c r="K51" i="31" s="1"/>
  <c r="K26" i="30"/>
  <c r="K30" i="30" s="1"/>
  <c r="K26" i="17"/>
  <c r="K30" i="17" s="1"/>
  <c r="K26" i="29"/>
  <c r="K30" i="29" s="1"/>
  <c r="K51" i="8"/>
  <c r="K53" i="8" s="1"/>
  <c r="K87" i="8"/>
  <c r="K88" i="8" s="1"/>
  <c r="L46" i="30"/>
  <c r="L47" i="30" s="1"/>
  <c r="L50" i="30" s="1"/>
  <c r="L38" i="26"/>
  <c r="L39" i="26" s="1"/>
  <c r="L42" i="26" s="1"/>
  <c r="L44" i="26" s="1"/>
  <c r="L48" i="26" s="1"/>
  <c r="O14" i="32"/>
  <c r="O16" i="32" s="1"/>
  <c r="O34" i="53" s="1"/>
  <c r="O12" i="32"/>
  <c r="L46" i="29"/>
  <c r="L47" i="29" s="1"/>
  <c r="L50" i="29" s="1"/>
  <c r="L46" i="17"/>
  <c r="L47" i="17" s="1"/>
  <c r="L50" i="17" s="1"/>
  <c r="O105" i="8"/>
  <c r="O20" i="8"/>
  <c r="J3" i="16"/>
  <c r="J3" i="31"/>
  <c r="J3" i="25"/>
  <c r="J3" i="26"/>
  <c r="J3" i="27"/>
  <c r="J3" i="30"/>
  <c r="J3" i="17"/>
  <c r="J3" i="32"/>
  <c r="J3" i="19"/>
  <c r="J3" i="8"/>
  <c r="J3" i="29"/>
  <c r="J3" i="44"/>
  <c r="J3" i="48"/>
  <c r="J3" i="43"/>
  <c r="L46" i="31"/>
  <c r="L47" i="31" s="1"/>
  <c r="L50" i="31" s="1"/>
  <c r="K33" i="8"/>
  <c r="K34" i="8"/>
  <c r="N61" i="31"/>
  <c r="N29" i="31"/>
  <c r="N29" i="30"/>
  <c r="N61" i="30"/>
  <c r="N61" i="29"/>
  <c r="N61" i="17"/>
  <c r="N29" i="17"/>
  <c r="N29" i="29"/>
  <c r="L2" i="53" l="1"/>
  <c r="Q5" i="53"/>
  <c r="K58" i="17"/>
  <c r="J62" i="17"/>
  <c r="J63" i="17" s="1"/>
  <c r="J65" i="17" s="1"/>
  <c r="J66" i="17"/>
  <c r="J67" i="17" s="1"/>
  <c r="J11" i="16" s="1"/>
  <c r="K58" i="30"/>
  <c r="J62" i="30"/>
  <c r="J63" i="30" s="1"/>
  <c r="J65" i="30" s="1"/>
  <c r="J66" i="30"/>
  <c r="J67" i="30" s="1"/>
  <c r="J12" i="16" s="1"/>
  <c r="K62" i="31"/>
  <c r="K63" i="31" s="1"/>
  <c r="K65" i="31" s="1"/>
  <c r="L58" i="31"/>
  <c r="K54" i="53"/>
  <c r="L55" i="53" s="1"/>
  <c r="L60" i="53" s="1"/>
  <c r="M20" i="53"/>
  <c r="M33" i="53" s="1"/>
  <c r="M35" i="53" s="1"/>
  <c r="M57" i="53"/>
  <c r="M58" i="53" s="1"/>
  <c r="O61" i="53"/>
  <c r="O29" i="53"/>
  <c r="K55" i="25"/>
  <c r="K61" i="25" s="1"/>
  <c r="K63" i="25" s="1"/>
  <c r="K24" i="16" s="1"/>
  <c r="J55" i="25"/>
  <c r="J61" i="25" s="1"/>
  <c r="J63" i="25" s="1"/>
  <c r="J24" i="16" s="1"/>
  <c r="K54" i="25"/>
  <c r="K60" i="25" s="1"/>
  <c r="K62" i="25" s="1"/>
  <c r="K23" i="16" s="1"/>
  <c r="J54" i="25"/>
  <c r="J60" i="25" s="1"/>
  <c r="J62" i="25" s="1"/>
  <c r="J23" i="16" s="1"/>
  <c r="L66" i="29"/>
  <c r="L67" i="29" s="1"/>
  <c r="L10" i="16" s="1"/>
  <c r="L61" i="8"/>
  <c r="L62" i="8" s="1"/>
  <c r="K56" i="8"/>
  <c r="K58" i="8" s="1"/>
  <c r="K72" i="8"/>
  <c r="K74" i="8" s="1"/>
  <c r="K78" i="8" s="1"/>
  <c r="K79" i="8" s="1"/>
  <c r="K57" i="8"/>
  <c r="K73" i="8"/>
  <c r="K49" i="30"/>
  <c r="K51" i="30" s="1"/>
  <c r="M33" i="26"/>
  <c r="M35" i="26" s="1"/>
  <c r="M37" i="26"/>
  <c r="L41" i="25"/>
  <c r="L45" i="25" s="1"/>
  <c r="K54" i="31"/>
  <c r="L55" i="31" s="1"/>
  <c r="L60" i="31" s="1"/>
  <c r="M20" i="17"/>
  <c r="M33" i="17" s="1"/>
  <c r="M35" i="17" s="1"/>
  <c r="M57" i="17"/>
  <c r="M20" i="31"/>
  <c r="M33" i="31" s="1"/>
  <c r="M35" i="31" s="1"/>
  <c r="M57" i="31"/>
  <c r="O34" i="31"/>
  <c r="O26" i="25"/>
  <c r="O26" i="26"/>
  <c r="O26" i="27"/>
  <c r="O34" i="30"/>
  <c r="O43" i="27"/>
  <c r="O34" i="29"/>
  <c r="O34" i="17"/>
  <c r="M20" i="29"/>
  <c r="M33" i="29" s="1"/>
  <c r="M35" i="29" s="1"/>
  <c r="M57" i="29"/>
  <c r="M58" i="29" s="1"/>
  <c r="L47" i="16"/>
  <c r="L48" i="16"/>
  <c r="L49" i="16"/>
  <c r="L51" i="16"/>
  <c r="L52" i="16"/>
  <c r="L54" i="16"/>
  <c r="L50" i="16"/>
  <c r="L46" i="16"/>
  <c r="L42" i="27"/>
  <c r="L44" i="27" s="1"/>
  <c r="L52" i="27" s="1"/>
  <c r="L49" i="26"/>
  <c r="L20" i="16" s="1"/>
  <c r="Q5" i="31"/>
  <c r="Q5" i="25"/>
  <c r="Q5" i="16"/>
  <c r="Q5" i="26"/>
  <c r="Q5" i="27"/>
  <c r="Q5" i="17"/>
  <c r="Q5" i="30"/>
  <c r="Q5" i="32"/>
  <c r="Q9" i="32"/>
  <c r="Q10" i="32" s="1"/>
  <c r="R10" i="8"/>
  <c r="Q5" i="29"/>
  <c r="Q5" i="19"/>
  <c r="Q5" i="44"/>
  <c r="Q13" i="8"/>
  <c r="Q14" i="8" s="1"/>
  <c r="Q5" i="8"/>
  <c r="Q5" i="43"/>
  <c r="Q5" i="48"/>
  <c r="P14" i="32"/>
  <c r="P16" i="32" s="1"/>
  <c r="P34" i="53" s="1"/>
  <c r="P12" i="32"/>
  <c r="O61" i="31"/>
  <c r="O29" i="31"/>
  <c r="O61" i="30"/>
  <c r="O29" i="30"/>
  <c r="O61" i="17"/>
  <c r="O29" i="17"/>
  <c r="O61" i="29"/>
  <c r="O29" i="29"/>
  <c r="M37" i="25"/>
  <c r="M33" i="25"/>
  <c r="M35" i="25" s="1"/>
  <c r="K49" i="29"/>
  <c r="K51" i="29" s="1"/>
  <c r="M57" i="30"/>
  <c r="M20" i="30"/>
  <c r="M33" i="30" s="1"/>
  <c r="M35" i="30" s="1"/>
  <c r="M33" i="27"/>
  <c r="M35" i="27" s="1"/>
  <c r="M37" i="27"/>
  <c r="L2" i="16"/>
  <c r="L2" i="31"/>
  <c r="L2" i="26"/>
  <c r="L2" i="25"/>
  <c r="L2" i="27"/>
  <c r="L2" i="30"/>
  <c r="L104" i="8"/>
  <c r="L106" i="8" s="1"/>
  <c r="L2" i="17"/>
  <c r="L32" i="8"/>
  <c r="L2" i="8"/>
  <c r="L48" i="8"/>
  <c r="L2" i="29"/>
  <c r="L2" i="32"/>
  <c r="L38" i="8"/>
  <c r="L39" i="8" s="1"/>
  <c r="L24" i="8"/>
  <c r="L26" i="8" s="1"/>
  <c r="L2" i="19"/>
  <c r="L2" i="43"/>
  <c r="L2" i="48"/>
  <c r="L2" i="44"/>
  <c r="M21" i="8"/>
  <c r="K84" i="8"/>
  <c r="L85" i="8" s="1"/>
  <c r="L64" i="8" s="1"/>
  <c r="K52" i="8"/>
  <c r="P105" i="8"/>
  <c r="P20" i="8"/>
  <c r="K44" i="8"/>
  <c r="L45" i="8" s="1"/>
  <c r="K49" i="17"/>
  <c r="K51" i="17" s="1"/>
  <c r="R5" i="53" l="1"/>
  <c r="M62" i="53"/>
  <c r="M63" i="53" s="1"/>
  <c r="M65" i="53" s="1"/>
  <c r="M66" i="53"/>
  <c r="M67" i="53" s="1"/>
  <c r="M14" i="16" s="1"/>
  <c r="K3" i="53"/>
  <c r="K66" i="30"/>
  <c r="K67" i="30" s="1"/>
  <c r="K12" i="16" s="1"/>
  <c r="K62" i="30"/>
  <c r="K63" i="30" s="1"/>
  <c r="K65" i="30" s="1"/>
  <c r="L58" i="30"/>
  <c r="K66" i="17"/>
  <c r="K67" i="17" s="1"/>
  <c r="K11" i="16" s="1"/>
  <c r="K62" i="17"/>
  <c r="K63" i="17" s="1"/>
  <c r="K65" i="17" s="1"/>
  <c r="L58" i="17"/>
  <c r="L62" i="31"/>
  <c r="L63" i="31" s="1"/>
  <c r="L65" i="31" s="1"/>
  <c r="M58" i="31"/>
  <c r="L66" i="31"/>
  <c r="L67" i="31" s="1"/>
  <c r="L13" i="16" s="1"/>
  <c r="L68" i="8"/>
  <c r="L70" i="8" s="1"/>
  <c r="L26" i="53"/>
  <c r="L30" i="53" s="1"/>
  <c r="L49" i="53" s="1"/>
  <c r="L51" i="53" s="1"/>
  <c r="P29" i="53"/>
  <c r="P61" i="53"/>
  <c r="L4" i="53"/>
  <c r="L16" i="53"/>
  <c r="L17" i="53" s="1"/>
  <c r="N18" i="53" s="1"/>
  <c r="M41" i="53"/>
  <c r="M43" i="53" s="1"/>
  <c r="M45" i="53"/>
  <c r="L53" i="27"/>
  <c r="L56" i="27" s="1"/>
  <c r="L57" i="27" s="1"/>
  <c r="L17" i="16" s="1"/>
  <c r="L46" i="25"/>
  <c r="L52" i="25" s="1"/>
  <c r="L47" i="25"/>
  <c r="L53" i="25" s="1"/>
  <c r="L65" i="8"/>
  <c r="L69" i="8"/>
  <c r="P61" i="31"/>
  <c r="P29" i="31"/>
  <c r="P61" i="30"/>
  <c r="P29" i="30"/>
  <c r="P61" i="29"/>
  <c r="P29" i="17"/>
  <c r="P61" i="17"/>
  <c r="P29" i="29"/>
  <c r="M45" i="30"/>
  <c r="M41" i="30"/>
  <c r="M43" i="30" s="1"/>
  <c r="Q14" i="32"/>
  <c r="Q16" i="32" s="1"/>
  <c r="Q34" i="53" s="1"/>
  <c r="Q12" i="32"/>
  <c r="P34" i="31"/>
  <c r="P26" i="27"/>
  <c r="P34" i="30"/>
  <c r="P26" i="25"/>
  <c r="P43" i="27"/>
  <c r="P26" i="26"/>
  <c r="P34" i="17"/>
  <c r="P34" i="29"/>
  <c r="M25" i="8"/>
  <c r="M22" i="8"/>
  <c r="K3" i="16"/>
  <c r="K3" i="31"/>
  <c r="K3" i="25"/>
  <c r="K3" i="27"/>
  <c r="K3" i="26"/>
  <c r="K3" i="17"/>
  <c r="K3" i="30"/>
  <c r="K3" i="29"/>
  <c r="K3" i="32"/>
  <c r="K3" i="19"/>
  <c r="K3" i="8"/>
  <c r="K3" i="48"/>
  <c r="K3" i="43"/>
  <c r="K3" i="44"/>
  <c r="M45" i="31"/>
  <c r="M41" i="31"/>
  <c r="M43" i="31" s="1"/>
  <c r="K54" i="17"/>
  <c r="L55" i="17" s="1"/>
  <c r="L60" i="17" s="1"/>
  <c r="K54" i="29"/>
  <c r="L55" i="29" s="1"/>
  <c r="L60" i="29" s="1"/>
  <c r="Q105" i="8"/>
  <c r="Q20" i="8"/>
  <c r="M62" i="29"/>
  <c r="M63" i="29" s="1"/>
  <c r="M65" i="29" s="1"/>
  <c r="M66" i="29"/>
  <c r="M67" i="29" s="1"/>
  <c r="M10" i="16" s="1"/>
  <c r="M38" i="26"/>
  <c r="M39" i="26" s="1"/>
  <c r="M42" i="26" s="1"/>
  <c r="M44" i="26" s="1"/>
  <c r="M48" i="26" s="1"/>
  <c r="M38" i="27"/>
  <c r="M39" i="27" s="1"/>
  <c r="L87" i="8"/>
  <c r="L88" i="8" s="1"/>
  <c r="L49" i="8"/>
  <c r="L66" i="8" s="1"/>
  <c r="L77" i="8" s="1"/>
  <c r="L26" i="31"/>
  <c r="L30" i="31" s="1"/>
  <c r="L49" i="31" s="1"/>
  <c r="L51" i="31" s="1"/>
  <c r="L26" i="30"/>
  <c r="L30" i="30" s="1"/>
  <c r="L26" i="29"/>
  <c r="L30" i="29" s="1"/>
  <c r="L26" i="17"/>
  <c r="L30" i="17" s="1"/>
  <c r="L51" i="8"/>
  <c r="L53" i="8" s="1"/>
  <c r="M38" i="25"/>
  <c r="M39" i="25" s="1"/>
  <c r="M45" i="29"/>
  <c r="M41" i="29"/>
  <c r="M43" i="29" s="1"/>
  <c r="M41" i="17"/>
  <c r="M43" i="17" s="1"/>
  <c r="M45" i="17"/>
  <c r="L31" i="16"/>
  <c r="L32" i="16" s="1"/>
  <c r="M33" i="16" s="1"/>
  <c r="M53" i="16" s="1"/>
  <c r="L4" i="16"/>
  <c r="L16" i="31"/>
  <c r="L17" i="31" s="1"/>
  <c r="N18" i="31" s="1"/>
  <c r="L4" i="31"/>
  <c r="L16" i="26"/>
  <c r="L17" i="26" s="1"/>
  <c r="N18" i="26" s="1"/>
  <c r="N20" i="26" s="1"/>
  <c r="N25" i="26" s="1"/>
  <c r="N27" i="26" s="1"/>
  <c r="L4" i="26"/>
  <c r="L16" i="27"/>
  <c r="L17" i="27" s="1"/>
  <c r="N18" i="27" s="1"/>
  <c r="N20" i="27" s="1"/>
  <c r="N25" i="27" s="1"/>
  <c r="N27" i="27" s="1"/>
  <c r="L16" i="25"/>
  <c r="L17" i="25" s="1"/>
  <c r="N18" i="25" s="1"/>
  <c r="N20" i="25" s="1"/>
  <c r="N25" i="25" s="1"/>
  <c r="N27" i="25" s="1"/>
  <c r="L4" i="25"/>
  <c r="L4" i="27"/>
  <c r="L16" i="29"/>
  <c r="L17" i="29" s="1"/>
  <c r="N18" i="29" s="1"/>
  <c r="L16" i="30"/>
  <c r="L17" i="30" s="1"/>
  <c r="N18" i="30" s="1"/>
  <c r="L4" i="30"/>
  <c r="L16" i="17"/>
  <c r="L17" i="17" s="1"/>
  <c r="N18" i="17" s="1"/>
  <c r="L4" i="17"/>
  <c r="L4" i="8"/>
  <c r="L4" i="29"/>
  <c r="L4" i="32"/>
  <c r="L4" i="48"/>
  <c r="L4" i="43"/>
  <c r="L4" i="19"/>
  <c r="L4" i="44"/>
  <c r="R5" i="16"/>
  <c r="R5" i="31"/>
  <c r="R5" i="25"/>
  <c r="R5" i="26"/>
  <c r="R5" i="30"/>
  <c r="R5" i="27"/>
  <c r="R9" i="32"/>
  <c r="R10" i="32" s="1"/>
  <c r="R5" i="17"/>
  <c r="R5" i="32"/>
  <c r="R5" i="29"/>
  <c r="R5" i="19"/>
  <c r="R13" i="8"/>
  <c r="R14" i="8" s="1"/>
  <c r="S10" i="8"/>
  <c r="R5" i="8"/>
  <c r="R5" i="44"/>
  <c r="R5" i="43"/>
  <c r="R5" i="48"/>
  <c r="L33" i="8"/>
  <c r="L34" i="8"/>
  <c r="K54" i="30"/>
  <c r="L55" i="30" s="1"/>
  <c r="L60" i="30" s="1"/>
  <c r="M2" i="53" l="1"/>
  <c r="S5" i="53"/>
  <c r="L62" i="17"/>
  <c r="L63" i="17" s="1"/>
  <c r="L65" i="17" s="1"/>
  <c r="L66" i="17"/>
  <c r="L67" i="17" s="1"/>
  <c r="L11" i="16" s="1"/>
  <c r="L62" i="30"/>
  <c r="L63" i="30" s="1"/>
  <c r="L65" i="30" s="1"/>
  <c r="L66" i="30"/>
  <c r="L67" i="30" s="1"/>
  <c r="L12" i="16" s="1"/>
  <c r="M58" i="17"/>
  <c r="M58" i="30"/>
  <c r="M62" i="31"/>
  <c r="M63" i="31" s="1"/>
  <c r="M65" i="31" s="1"/>
  <c r="M66" i="31"/>
  <c r="M67" i="31" s="1"/>
  <c r="M13" i="16" s="1"/>
  <c r="N57" i="53"/>
  <c r="N58" i="53" s="1"/>
  <c r="N20" i="53"/>
  <c r="N33" i="53" s="1"/>
  <c r="N35" i="53" s="1"/>
  <c r="M46" i="53"/>
  <c r="M47" i="53" s="1"/>
  <c r="M50" i="53" s="1"/>
  <c r="Q61" i="53"/>
  <c r="Q29" i="53"/>
  <c r="L54" i="53"/>
  <c r="M55" i="53" s="1"/>
  <c r="M60" i="53" s="1"/>
  <c r="L55" i="25"/>
  <c r="L61" i="25" s="1"/>
  <c r="L63" i="25" s="1"/>
  <c r="L24" i="16" s="1"/>
  <c r="L54" i="25"/>
  <c r="L60" i="25" s="1"/>
  <c r="L62" i="25" s="1"/>
  <c r="L23" i="16" s="1"/>
  <c r="M61" i="8"/>
  <c r="M62" i="8" s="1"/>
  <c r="L57" i="8"/>
  <c r="L73" i="8"/>
  <c r="L56" i="8"/>
  <c r="L58" i="8" s="1"/>
  <c r="L72" i="8"/>
  <c r="L74" i="8" s="1"/>
  <c r="L78" i="8" s="1"/>
  <c r="L79" i="8" s="1"/>
  <c r="M49" i="26"/>
  <c r="M20" i="16" s="1"/>
  <c r="M42" i="27"/>
  <c r="M44" i="27" s="1"/>
  <c r="M52" i="27" s="1"/>
  <c r="Q34" i="31"/>
  <c r="Q26" i="26"/>
  <c r="Q26" i="27"/>
  <c r="Q34" i="30"/>
  <c r="Q26" i="25"/>
  <c r="Q43" i="27"/>
  <c r="Q34" i="29"/>
  <c r="Q34" i="17"/>
  <c r="L84" i="8"/>
  <c r="M85" i="8" s="1"/>
  <c r="M64" i="8" s="1"/>
  <c r="L52" i="8"/>
  <c r="R20" i="8"/>
  <c r="R105" i="8"/>
  <c r="N37" i="25"/>
  <c r="N33" i="25"/>
  <c r="N35" i="25" s="1"/>
  <c r="M46" i="30"/>
  <c r="M47" i="30" s="1"/>
  <c r="M50" i="30" s="1"/>
  <c r="L49" i="17"/>
  <c r="L51" i="17" s="1"/>
  <c r="M46" i="31"/>
  <c r="M47" i="31" s="1"/>
  <c r="M50" i="31" s="1"/>
  <c r="M2" i="16"/>
  <c r="M2" i="25"/>
  <c r="M2" i="26"/>
  <c r="M2" i="31"/>
  <c r="M2" i="27"/>
  <c r="M2" i="30"/>
  <c r="M2" i="17"/>
  <c r="M48" i="8"/>
  <c r="M2" i="29"/>
  <c r="M2" i="32"/>
  <c r="M38" i="8"/>
  <c r="M39" i="8" s="1"/>
  <c r="M32" i="8"/>
  <c r="M2" i="19"/>
  <c r="M2" i="44"/>
  <c r="M24" i="8"/>
  <c r="M26" i="8" s="1"/>
  <c r="M2" i="8"/>
  <c r="M104" i="8"/>
  <c r="M106" i="8" s="1"/>
  <c r="M2" i="43"/>
  <c r="M2" i="48"/>
  <c r="N21" i="8"/>
  <c r="M48" i="16"/>
  <c r="M47" i="16"/>
  <c r="M49" i="16"/>
  <c r="M52" i="16"/>
  <c r="M51" i="16"/>
  <c r="M46" i="16"/>
  <c r="M50" i="16"/>
  <c r="M54" i="16"/>
  <c r="M46" i="17"/>
  <c r="M47" i="17" s="1"/>
  <c r="M50" i="17" s="1"/>
  <c r="R14" i="32"/>
  <c r="R16" i="32" s="1"/>
  <c r="R34" i="53" s="1"/>
  <c r="R12" i="32"/>
  <c r="N33" i="26"/>
  <c r="N35" i="26" s="1"/>
  <c r="N37" i="26"/>
  <c r="L49" i="29"/>
  <c r="L51" i="29" s="1"/>
  <c r="L44" i="8"/>
  <c r="M45" i="8" s="1"/>
  <c r="N33" i="27"/>
  <c r="N35" i="27" s="1"/>
  <c r="N37" i="27"/>
  <c r="N57" i="17"/>
  <c r="N20" i="17"/>
  <c r="N33" i="17" s="1"/>
  <c r="N35" i="17" s="1"/>
  <c r="N57" i="30"/>
  <c r="N20" i="30"/>
  <c r="N33" i="30" s="1"/>
  <c r="N35" i="30" s="1"/>
  <c r="M46" i="29"/>
  <c r="M47" i="29" s="1"/>
  <c r="M50" i="29" s="1"/>
  <c r="L49" i="30"/>
  <c r="L51" i="30" s="1"/>
  <c r="M41" i="25"/>
  <c r="M45" i="25" s="1"/>
  <c r="S5" i="16"/>
  <c r="S5" i="31"/>
  <c r="S5" i="25"/>
  <c r="S5" i="26"/>
  <c r="S5" i="27"/>
  <c r="S5" i="17"/>
  <c r="S5" i="29"/>
  <c r="S5" i="30"/>
  <c r="S9" i="32"/>
  <c r="S10" i="32" s="1"/>
  <c r="S5" i="32"/>
  <c r="S13" i="8"/>
  <c r="S14" i="8" s="1"/>
  <c r="S5" i="43"/>
  <c r="T10" i="8"/>
  <c r="S5" i="44"/>
  <c r="S5" i="48"/>
  <c r="S5" i="8"/>
  <c r="S5" i="19"/>
  <c r="N20" i="29"/>
  <c r="N33" i="29" s="1"/>
  <c r="N35" i="29" s="1"/>
  <c r="N57" i="29"/>
  <c r="N58" i="29" s="1"/>
  <c r="N57" i="31"/>
  <c r="N58" i="31" s="1"/>
  <c r="N20" i="31"/>
  <c r="N33" i="31" s="1"/>
  <c r="N35" i="31" s="1"/>
  <c r="L54" i="31"/>
  <c r="M55" i="31" s="1"/>
  <c r="M60" i="31" s="1"/>
  <c r="Q29" i="31"/>
  <c r="Q61" i="31"/>
  <c r="Q61" i="30"/>
  <c r="Q29" i="30"/>
  <c r="Q61" i="17"/>
  <c r="Q29" i="17"/>
  <c r="Q61" i="29"/>
  <c r="Q29" i="29"/>
  <c r="N58" i="17" l="1"/>
  <c r="N62" i="17" s="1"/>
  <c r="N63" i="17" s="1"/>
  <c r="N65" i="17" s="1"/>
  <c r="T5" i="53"/>
  <c r="L3" i="53"/>
  <c r="N62" i="53"/>
  <c r="N63" i="53" s="1"/>
  <c r="N65" i="53" s="1"/>
  <c r="N66" i="53"/>
  <c r="N67" i="53" s="1"/>
  <c r="N14" i="16" s="1"/>
  <c r="N58" i="30"/>
  <c r="N62" i="30" s="1"/>
  <c r="N63" i="30" s="1"/>
  <c r="N65" i="30" s="1"/>
  <c r="M66" i="30"/>
  <c r="M67" i="30" s="1"/>
  <c r="M12" i="16" s="1"/>
  <c r="M62" i="30"/>
  <c r="M63" i="30" s="1"/>
  <c r="M65" i="30" s="1"/>
  <c r="M62" i="17"/>
  <c r="M63" i="17" s="1"/>
  <c r="M65" i="17" s="1"/>
  <c r="M66" i="17"/>
  <c r="M67" i="17" s="1"/>
  <c r="M11" i="16" s="1"/>
  <c r="N62" i="31"/>
  <c r="N63" i="31" s="1"/>
  <c r="N65" i="31" s="1"/>
  <c r="N66" i="31"/>
  <c r="N67" i="31" s="1"/>
  <c r="N13" i="16" s="1"/>
  <c r="N41" i="53"/>
  <c r="N43" i="53" s="1"/>
  <c r="N45" i="53"/>
  <c r="R61" i="53"/>
  <c r="R29" i="53"/>
  <c r="M16" i="53"/>
  <c r="M17" i="53" s="1"/>
  <c r="O18" i="53" s="1"/>
  <c r="M4" i="53"/>
  <c r="M68" i="8"/>
  <c r="M70" i="8" s="1"/>
  <c r="M26" i="53"/>
  <c r="M30" i="53" s="1"/>
  <c r="M49" i="53" s="1"/>
  <c r="M51" i="53" s="1"/>
  <c r="U10" i="8"/>
  <c r="M53" i="27"/>
  <c r="M56" i="27" s="1"/>
  <c r="M57" i="27" s="1"/>
  <c r="M17" i="16" s="1"/>
  <c r="M47" i="25"/>
  <c r="M53" i="25" s="1"/>
  <c r="M46" i="25"/>
  <c r="M52" i="25" s="1"/>
  <c r="M65" i="8"/>
  <c r="M69" i="8"/>
  <c r="N45" i="31"/>
  <c r="N41" i="31"/>
  <c r="N43" i="31" s="1"/>
  <c r="T5" i="31"/>
  <c r="T5" i="16"/>
  <c r="T5" i="25"/>
  <c r="T5" i="27"/>
  <c r="T5" i="26"/>
  <c r="T5" i="29"/>
  <c r="T5" i="30"/>
  <c r="T5" i="17"/>
  <c r="T5" i="32"/>
  <c r="T13" i="8"/>
  <c r="T14" i="8" s="1"/>
  <c r="T5" i="8"/>
  <c r="T9" i="32"/>
  <c r="T10" i="32" s="1"/>
  <c r="T5" i="43"/>
  <c r="T5" i="48"/>
  <c r="T5" i="19"/>
  <c r="T5" i="44"/>
  <c r="N45" i="17"/>
  <c r="N41" i="17"/>
  <c r="N43" i="17" s="1"/>
  <c r="L3" i="31"/>
  <c r="L3" i="16"/>
  <c r="L3" i="27"/>
  <c r="L3" i="25"/>
  <c r="L3" i="26"/>
  <c r="L3" i="29"/>
  <c r="L3" i="30"/>
  <c r="L3" i="17"/>
  <c r="L3" i="32"/>
  <c r="L3" i="8"/>
  <c r="L3" i="19"/>
  <c r="L3" i="44"/>
  <c r="L3" i="48"/>
  <c r="L3" i="43"/>
  <c r="L54" i="29"/>
  <c r="M55" i="29" s="1"/>
  <c r="M60" i="29" s="1"/>
  <c r="M49" i="8"/>
  <c r="M66" i="8" s="1"/>
  <c r="M77" i="8" s="1"/>
  <c r="M87" i="8"/>
  <c r="M88" i="8" s="1"/>
  <c r="S105" i="8"/>
  <c r="S20" i="8"/>
  <c r="N45" i="29"/>
  <c r="N41" i="29"/>
  <c r="N43" i="29" s="1"/>
  <c r="L54" i="30"/>
  <c r="M55" i="30" s="1"/>
  <c r="M60" i="30" s="1"/>
  <c r="N38" i="27"/>
  <c r="N39" i="27" s="1"/>
  <c r="N38" i="26"/>
  <c r="N39" i="26" s="1"/>
  <c r="N42" i="26" s="1"/>
  <c r="N44" i="26" s="1"/>
  <c r="N48" i="26" s="1"/>
  <c r="N22" i="8"/>
  <c r="N25" i="8"/>
  <c r="M33" i="8"/>
  <c r="M34" i="8"/>
  <c r="L54" i="17"/>
  <c r="M55" i="17" s="1"/>
  <c r="M60" i="17" s="1"/>
  <c r="N62" i="29"/>
  <c r="N63" i="29" s="1"/>
  <c r="N65" i="29" s="1"/>
  <c r="N66" i="29"/>
  <c r="N67" i="29" s="1"/>
  <c r="N10" i="16" s="1"/>
  <c r="S14" i="32"/>
  <c r="S16" i="32" s="1"/>
  <c r="S34" i="53" s="1"/>
  <c r="S12" i="32"/>
  <c r="R29" i="31"/>
  <c r="R61" i="31"/>
  <c r="R61" i="30"/>
  <c r="R29" i="17"/>
  <c r="R29" i="30"/>
  <c r="R61" i="17"/>
  <c r="R61" i="29"/>
  <c r="R29" i="29"/>
  <c r="N38" i="25"/>
  <c r="N39" i="25" s="1"/>
  <c r="M26" i="31"/>
  <c r="M30" i="31" s="1"/>
  <c r="M49" i="31" s="1"/>
  <c r="M51" i="31" s="1"/>
  <c r="M26" i="30"/>
  <c r="M30" i="30" s="1"/>
  <c r="M26" i="17"/>
  <c r="M30" i="17" s="1"/>
  <c r="M26" i="29"/>
  <c r="M30" i="29" s="1"/>
  <c r="M51" i="8"/>
  <c r="M53" i="8" s="1"/>
  <c r="R26" i="26"/>
  <c r="R34" i="31"/>
  <c r="R26" i="25"/>
  <c r="R26" i="27"/>
  <c r="R43" i="27"/>
  <c r="R34" i="30"/>
  <c r="R34" i="17"/>
  <c r="R34" i="29"/>
  <c r="N45" i="30"/>
  <c r="N41" i="30"/>
  <c r="N43" i="30" s="1"/>
  <c r="M4" i="16"/>
  <c r="M16" i="31"/>
  <c r="M17" i="31" s="1"/>
  <c r="O18" i="31" s="1"/>
  <c r="M31" i="16"/>
  <c r="M32" i="16" s="1"/>
  <c r="N33" i="16" s="1"/>
  <c r="N53" i="16" s="1"/>
  <c r="M4" i="31"/>
  <c r="M16" i="26"/>
  <c r="M17" i="26" s="1"/>
  <c r="O18" i="26" s="1"/>
  <c r="O20" i="26" s="1"/>
  <c r="O25" i="26" s="1"/>
  <c r="O27" i="26" s="1"/>
  <c r="M4" i="25"/>
  <c r="M16" i="25"/>
  <c r="M17" i="25" s="1"/>
  <c r="O18" i="25" s="1"/>
  <c r="O20" i="25" s="1"/>
  <c r="O25" i="25" s="1"/>
  <c r="O27" i="25" s="1"/>
  <c r="M4" i="26"/>
  <c r="M16" i="27"/>
  <c r="M17" i="27" s="1"/>
  <c r="O18" i="27" s="1"/>
  <c r="O20" i="27" s="1"/>
  <c r="O25" i="27" s="1"/>
  <c r="O27" i="27" s="1"/>
  <c r="M4" i="27"/>
  <c r="M16" i="30"/>
  <c r="M17" i="30" s="1"/>
  <c r="O18" i="30" s="1"/>
  <c r="M4" i="29"/>
  <c r="M4" i="30"/>
  <c r="M16" i="17"/>
  <c r="M17" i="17" s="1"/>
  <c r="O18" i="17" s="1"/>
  <c r="M4" i="17"/>
  <c r="M16" i="29"/>
  <c r="M17" i="29" s="1"/>
  <c r="O18" i="29" s="1"/>
  <c r="M4" i="32"/>
  <c r="M4" i="19"/>
  <c r="M4" i="44"/>
  <c r="M4" i="8"/>
  <c r="M4" i="43"/>
  <c r="M4" i="48"/>
  <c r="N66" i="17" l="1"/>
  <c r="N67" i="17" s="1"/>
  <c r="N11" i="16" s="1"/>
  <c r="U5" i="53"/>
  <c r="N66" i="30"/>
  <c r="N67" i="30" s="1"/>
  <c r="N12" i="16" s="1"/>
  <c r="N2" i="53"/>
  <c r="U5" i="26"/>
  <c r="U5" i="27"/>
  <c r="S61" i="53"/>
  <c r="S29" i="53"/>
  <c r="M54" i="53"/>
  <c r="N55" i="53" s="1"/>
  <c r="N60" i="53" s="1"/>
  <c r="O57" i="53"/>
  <c r="O58" i="53" s="1"/>
  <c r="O20" i="53"/>
  <c r="O33" i="53" s="1"/>
  <c r="O35" i="53" s="1"/>
  <c r="N46" i="53"/>
  <c r="N47" i="53" s="1"/>
  <c r="N50" i="53" s="1"/>
  <c r="U9" i="32"/>
  <c r="U10" i="32" s="1"/>
  <c r="U14" i="32" s="1"/>
  <c r="U5" i="32"/>
  <c r="U13" i="8"/>
  <c r="U14" i="8" s="1"/>
  <c r="U105" i="8" s="1"/>
  <c r="V10" i="8"/>
  <c r="U5" i="44"/>
  <c r="U5" i="48"/>
  <c r="U5" i="19"/>
  <c r="U5" i="43"/>
  <c r="U5" i="31"/>
  <c r="U5" i="8"/>
  <c r="U5" i="25"/>
  <c r="U5" i="16"/>
  <c r="U5" i="17"/>
  <c r="U5" i="29"/>
  <c r="U5" i="30"/>
  <c r="M54" i="25"/>
  <c r="M60" i="25" s="1"/>
  <c r="M62" i="25" s="1"/>
  <c r="M23" i="16" s="1"/>
  <c r="M55" i="25"/>
  <c r="M61" i="25" s="1"/>
  <c r="M63" i="25" s="1"/>
  <c r="M24" i="16" s="1"/>
  <c r="N61" i="8"/>
  <c r="N62" i="8" s="1"/>
  <c r="M57" i="8"/>
  <c r="M73" i="8"/>
  <c r="M56" i="8"/>
  <c r="M58" i="8" s="1"/>
  <c r="M72" i="8"/>
  <c r="M74" i="8" s="1"/>
  <c r="M78" i="8" s="1"/>
  <c r="M79" i="8" s="1"/>
  <c r="N42" i="27"/>
  <c r="N44" i="27" s="1"/>
  <c r="N52" i="27" s="1"/>
  <c r="O37" i="25"/>
  <c r="O33" i="25"/>
  <c r="O35" i="25" s="1"/>
  <c r="O20" i="17"/>
  <c r="O33" i="17" s="1"/>
  <c r="O35" i="17" s="1"/>
  <c r="O57" i="17"/>
  <c r="O58" i="17" s="1"/>
  <c r="M54" i="31"/>
  <c r="N55" i="31" s="1"/>
  <c r="N60" i="31" s="1"/>
  <c r="N46" i="31"/>
  <c r="N47" i="31" s="1"/>
  <c r="N50" i="31" s="1"/>
  <c r="O37" i="26"/>
  <c r="O33" i="26"/>
  <c r="O35" i="26" s="1"/>
  <c r="N49" i="26"/>
  <c r="N20" i="16" s="1"/>
  <c r="N41" i="25"/>
  <c r="N45" i="25" s="1"/>
  <c r="O57" i="31"/>
  <c r="O58" i="31" s="1"/>
  <c r="O66" i="31" s="1"/>
  <c r="O67" i="31" s="1"/>
  <c r="O13" i="16" s="1"/>
  <c r="F7" i="47" s="1"/>
  <c r="O20" i="31"/>
  <c r="O33" i="31" s="1"/>
  <c r="O35" i="31" s="1"/>
  <c r="O57" i="30"/>
  <c r="O58" i="30" s="1"/>
  <c r="O20" i="30"/>
  <c r="O33" i="30" s="1"/>
  <c r="O35" i="30" s="1"/>
  <c r="N48" i="16"/>
  <c r="N47" i="16"/>
  <c r="N52" i="16"/>
  <c r="N51" i="16"/>
  <c r="N49" i="16"/>
  <c r="N54" i="16"/>
  <c r="N46" i="16"/>
  <c r="N50" i="16"/>
  <c r="S61" i="31"/>
  <c r="S29" i="31"/>
  <c r="S61" i="30"/>
  <c r="S29" i="29"/>
  <c r="S29" i="30"/>
  <c r="S61" i="17"/>
  <c r="S29" i="17"/>
  <c r="S61" i="29"/>
  <c r="T14" i="32"/>
  <c r="T16" i="32" s="1"/>
  <c r="T34" i="53" s="1"/>
  <c r="T12" i="32"/>
  <c r="S34" i="31"/>
  <c r="S26" i="27"/>
  <c r="S43" i="27"/>
  <c r="S26" i="25"/>
  <c r="S26" i="26"/>
  <c r="S34" i="30"/>
  <c r="S34" i="29"/>
  <c r="S34" i="17"/>
  <c r="N46" i="17"/>
  <c r="N47" i="17" s="1"/>
  <c r="N50" i="17" s="1"/>
  <c r="O37" i="27"/>
  <c r="O33" i="27"/>
  <c r="O35" i="27" s="1"/>
  <c r="M49" i="29"/>
  <c r="M51" i="29" s="1"/>
  <c r="T105" i="8"/>
  <c r="T20" i="8"/>
  <c r="M44" i="8"/>
  <c r="N45" i="8" s="1"/>
  <c r="O57" i="29"/>
  <c r="O58" i="29" s="1"/>
  <c r="O20" i="29"/>
  <c r="O33" i="29" s="1"/>
  <c r="O35" i="29" s="1"/>
  <c r="M49" i="17"/>
  <c r="M51" i="17" s="1"/>
  <c r="N2" i="16"/>
  <c r="N2" i="31"/>
  <c r="N2" i="25"/>
  <c r="N2" i="26"/>
  <c r="N2" i="30"/>
  <c r="N2" i="27"/>
  <c r="N24" i="8"/>
  <c r="N26" i="8" s="1"/>
  <c r="N2" i="8"/>
  <c r="N2" i="29"/>
  <c r="N2" i="19"/>
  <c r="N2" i="32"/>
  <c r="N104" i="8"/>
  <c r="N106" i="8" s="1"/>
  <c r="N38" i="8"/>
  <c r="N39" i="8" s="1"/>
  <c r="N32" i="8"/>
  <c r="N2" i="44"/>
  <c r="N2" i="17"/>
  <c r="N48" i="8"/>
  <c r="N2" i="43"/>
  <c r="N2" i="48"/>
  <c r="O21" i="8"/>
  <c r="N46" i="29"/>
  <c r="N47" i="29" s="1"/>
  <c r="N50" i="29" s="1"/>
  <c r="M52" i="8"/>
  <c r="M84" i="8"/>
  <c r="N85" i="8" s="1"/>
  <c r="N64" i="8" s="1"/>
  <c r="N46" i="30"/>
  <c r="N47" i="30" s="1"/>
  <c r="N50" i="30" s="1"/>
  <c r="M49" i="30"/>
  <c r="M51" i="30" s="1"/>
  <c r="O62" i="31" l="1"/>
  <c r="O63" i="31" s="1"/>
  <c r="O65" i="31" s="1"/>
  <c r="V5" i="31"/>
  <c r="V5" i="30"/>
  <c r="V5" i="16"/>
  <c r="V5" i="32"/>
  <c r="V5" i="19"/>
  <c r="V5" i="25"/>
  <c r="M3" i="53"/>
  <c r="O66" i="53"/>
  <c r="O67" i="53" s="1"/>
  <c r="O14" i="16" s="1"/>
  <c r="F8" i="47" s="1"/>
  <c r="O62" i="53"/>
  <c r="O63" i="53" s="1"/>
  <c r="O65" i="53" s="1"/>
  <c r="V9" i="32"/>
  <c r="V10" i="32" s="1"/>
  <c r="V12" i="32" s="1"/>
  <c r="U12" i="32"/>
  <c r="U61" i="29" s="1"/>
  <c r="V5" i="29"/>
  <c r="V5" i="53"/>
  <c r="V5" i="27"/>
  <c r="V5" i="17"/>
  <c r="N16" i="53"/>
  <c r="N17" i="53" s="1"/>
  <c r="P18" i="53" s="1"/>
  <c r="N4" i="53"/>
  <c r="O41" i="53"/>
  <c r="O43" i="53" s="1"/>
  <c r="O45" i="53"/>
  <c r="N68" i="8"/>
  <c r="N70" i="8" s="1"/>
  <c r="N26" i="53"/>
  <c r="N30" i="53" s="1"/>
  <c r="N49" i="53" s="1"/>
  <c r="N51" i="53" s="1"/>
  <c r="T29" i="53"/>
  <c r="T61" i="53"/>
  <c r="V5" i="48"/>
  <c r="V5" i="26"/>
  <c r="V5" i="8"/>
  <c r="V13" i="8"/>
  <c r="V14" i="8" s="1"/>
  <c r="V105" i="8" s="1"/>
  <c r="V5" i="44"/>
  <c r="V5" i="43"/>
  <c r="U20" i="8"/>
  <c r="W10" i="8"/>
  <c r="N53" i="27"/>
  <c r="N56" i="27" s="1"/>
  <c r="N57" i="27" s="1"/>
  <c r="N17" i="16" s="1"/>
  <c r="N47" i="25"/>
  <c r="N53" i="25" s="1"/>
  <c r="N46" i="25"/>
  <c r="N52" i="25" s="1"/>
  <c r="U16" i="32"/>
  <c r="N65" i="8"/>
  <c r="N69" i="8"/>
  <c r="N31" i="16"/>
  <c r="N32" i="16" s="1"/>
  <c r="O33" i="16" s="1"/>
  <c r="N4" i="16"/>
  <c r="N4" i="31"/>
  <c r="N16" i="31"/>
  <c r="N17" i="31" s="1"/>
  <c r="P18" i="31" s="1"/>
  <c r="N4" i="25"/>
  <c r="N16" i="26"/>
  <c r="N17" i="26" s="1"/>
  <c r="P18" i="26" s="1"/>
  <c r="P20" i="26" s="1"/>
  <c r="P25" i="26" s="1"/>
  <c r="P27" i="26" s="1"/>
  <c r="N16" i="25"/>
  <c r="N17" i="25" s="1"/>
  <c r="P18" i="25" s="1"/>
  <c r="P20" i="25" s="1"/>
  <c r="P25" i="25" s="1"/>
  <c r="P27" i="25" s="1"/>
  <c r="N4" i="26"/>
  <c r="N16" i="27"/>
  <c r="N17" i="27" s="1"/>
  <c r="P18" i="27" s="1"/>
  <c r="P20" i="27" s="1"/>
  <c r="P25" i="27" s="1"/>
  <c r="P27" i="27" s="1"/>
  <c r="N4" i="27"/>
  <c r="N4" i="30"/>
  <c r="N16" i="30"/>
  <c r="N17" i="30" s="1"/>
  <c r="P18" i="30" s="1"/>
  <c r="N4" i="29"/>
  <c r="N16" i="17"/>
  <c r="N17" i="17" s="1"/>
  <c r="P18" i="17" s="1"/>
  <c r="N4" i="17"/>
  <c r="N4" i="32"/>
  <c r="N4" i="8"/>
  <c r="N4" i="44"/>
  <c r="N4" i="19"/>
  <c r="N16" i="29"/>
  <c r="N17" i="29" s="1"/>
  <c r="P18" i="29" s="1"/>
  <c r="N4" i="43"/>
  <c r="N4" i="48"/>
  <c r="O66" i="29"/>
  <c r="O67" i="29" s="1"/>
  <c r="O10" i="16" s="1"/>
  <c r="F4" i="47" s="1"/>
  <c r="O62" i="29"/>
  <c r="O63" i="29" s="1"/>
  <c r="O65" i="29" s="1"/>
  <c r="M54" i="29"/>
  <c r="N55" i="29" s="1"/>
  <c r="N60" i="29" s="1"/>
  <c r="O38" i="27"/>
  <c r="O39" i="27" s="1"/>
  <c r="N26" i="31"/>
  <c r="N30" i="31" s="1"/>
  <c r="N49" i="31" s="1"/>
  <c r="N51" i="31" s="1"/>
  <c r="N26" i="30"/>
  <c r="N30" i="30" s="1"/>
  <c r="N26" i="29"/>
  <c r="N30" i="29" s="1"/>
  <c r="N51" i="8"/>
  <c r="N53" i="8" s="1"/>
  <c r="N26" i="17"/>
  <c r="N30" i="17" s="1"/>
  <c r="O38" i="26"/>
  <c r="O39" i="26" s="1"/>
  <c r="O42" i="26" s="1"/>
  <c r="O44" i="26" s="1"/>
  <c r="O48" i="26" s="1"/>
  <c r="O66" i="17"/>
  <c r="O67" i="17" s="1"/>
  <c r="O11" i="16" s="1"/>
  <c r="F5" i="47" s="1"/>
  <c r="O62" i="17"/>
  <c r="O63" i="17" s="1"/>
  <c r="O65" i="17" s="1"/>
  <c r="N49" i="8"/>
  <c r="N66" i="8" s="1"/>
  <c r="N77" i="8" s="1"/>
  <c r="O41" i="17"/>
  <c r="O43" i="17" s="1"/>
  <c r="O45" i="17"/>
  <c r="N87" i="8"/>
  <c r="N88" i="8" s="1"/>
  <c r="M3" i="16"/>
  <c r="M3" i="31"/>
  <c r="M3" i="27"/>
  <c r="M3" i="25"/>
  <c r="M3" i="26"/>
  <c r="M3" i="32"/>
  <c r="M3" i="30"/>
  <c r="M3" i="19"/>
  <c r="M3" i="44"/>
  <c r="M3" i="29"/>
  <c r="M3" i="8"/>
  <c r="M3" i="17"/>
  <c r="M3" i="43"/>
  <c r="M3" i="48"/>
  <c r="O38" i="25"/>
  <c r="O39" i="25" s="1"/>
  <c r="M54" i="17"/>
  <c r="N55" i="17" s="1"/>
  <c r="N60" i="17" s="1"/>
  <c r="T29" i="31"/>
  <c r="T61" i="31"/>
  <c r="T29" i="30"/>
  <c r="T61" i="30"/>
  <c r="T61" i="17"/>
  <c r="T61" i="29"/>
  <c r="T29" i="29"/>
  <c r="T29" i="17"/>
  <c r="O45" i="30"/>
  <c r="O41" i="30"/>
  <c r="O43" i="30" s="1"/>
  <c r="N33" i="8"/>
  <c r="N34" i="8"/>
  <c r="T34" i="31"/>
  <c r="T43" i="27"/>
  <c r="T26" i="25"/>
  <c r="T26" i="26"/>
  <c r="T26" i="27"/>
  <c r="T34" i="30"/>
  <c r="T34" i="17"/>
  <c r="T34" i="29"/>
  <c r="O62" i="30"/>
  <c r="O63" i="30" s="1"/>
  <c r="O65" i="30" s="1"/>
  <c r="O66" i="30"/>
  <c r="O67" i="30" s="1"/>
  <c r="O12" i="16" s="1"/>
  <c r="F6" i="47" s="1"/>
  <c r="O22" i="8"/>
  <c r="O25" i="8"/>
  <c r="M54" i="30"/>
  <c r="N55" i="30" s="1"/>
  <c r="N60" i="30" s="1"/>
  <c r="O45" i="29"/>
  <c r="O41" i="29"/>
  <c r="O43" i="29" s="1"/>
  <c r="O45" i="31"/>
  <c r="O41" i="31"/>
  <c r="O43" i="31" s="1"/>
  <c r="V14" i="32" l="1"/>
  <c r="V16" i="32" s="1"/>
  <c r="U61" i="53"/>
  <c r="U61" i="31"/>
  <c r="U29" i="53"/>
  <c r="O2" i="53"/>
  <c r="W5" i="53"/>
  <c r="U29" i="31"/>
  <c r="U61" i="17"/>
  <c r="U29" i="30"/>
  <c r="U29" i="29"/>
  <c r="U29" i="17"/>
  <c r="F20" i="47"/>
  <c r="O53" i="16"/>
  <c r="U61" i="30"/>
  <c r="O46" i="53"/>
  <c r="O47" i="53" s="1"/>
  <c r="O50" i="53" s="1"/>
  <c r="V29" i="53"/>
  <c r="V61" i="53"/>
  <c r="N54" i="53"/>
  <c r="O55" i="53" s="1"/>
  <c r="O60" i="53" s="1"/>
  <c r="U26" i="26"/>
  <c r="U34" i="53"/>
  <c r="P57" i="53"/>
  <c r="P58" i="53" s="1"/>
  <c r="P20" i="53"/>
  <c r="P33" i="53" s="1"/>
  <c r="P35" i="53" s="1"/>
  <c r="V20" i="8"/>
  <c r="W5" i="32"/>
  <c r="W5" i="25"/>
  <c r="W5" i="26"/>
  <c r="W5" i="29"/>
  <c r="W5" i="17"/>
  <c r="W13" i="8"/>
  <c r="W14" i="8" s="1"/>
  <c r="W5" i="48"/>
  <c r="W5" i="27"/>
  <c r="W5" i="31"/>
  <c r="W9" i="32"/>
  <c r="W10" i="32" s="1"/>
  <c r="W5" i="16"/>
  <c r="W5" i="8"/>
  <c r="W5" i="30"/>
  <c r="W5" i="19"/>
  <c r="W5" i="44"/>
  <c r="W5" i="43"/>
  <c r="X10" i="8"/>
  <c r="N54" i="25"/>
  <c r="N60" i="25" s="1"/>
  <c r="N62" i="25" s="1"/>
  <c r="N23" i="16" s="1"/>
  <c r="N55" i="25"/>
  <c r="N61" i="25" s="1"/>
  <c r="N63" i="25" s="1"/>
  <c r="N24" i="16" s="1"/>
  <c r="U34" i="30"/>
  <c r="U26" i="25"/>
  <c r="U26" i="27"/>
  <c r="U34" i="17"/>
  <c r="U34" i="29"/>
  <c r="U34" i="31"/>
  <c r="O61" i="8"/>
  <c r="O62" i="8" s="1"/>
  <c r="U43" i="27"/>
  <c r="N56" i="8"/>
  <c r="N58" i="8" s="1"/>
  <c r="N72" i="8"/>
  <c r="N74" i="8" s="1"/>
  <c r="N78" i="8" s="1"/>
  <c r="N79" i="8" s="1"/>
  <c r="N57" i="8"/>
  <c r="N73" i="8"/>
  <c r="V29" i="17"/>
  <c r="V61" i="29"/>
  <c r="V29" i="30"/>
  <c r="V29" i="31"/>
  <c r="V61" i="30"/>
  <c r="V61" i="31"/>
  <c r="V61" i="17"/>
  <c r="V29" i="29"/>
  <c r="O41" i="25"/>
  <c r="O45" i="25" s="1"/>
  <c r="N84" i="8"/>
  <c r="O85" i="8" s="1"/>
  <c r="N52" i="8"/>
  <c r="N49" i="29"/>
  <c r="N51" i="29" s="1"/>
  <c r="P33" i="25"/>
  <c r="P35" i="25" s="1"/>
  <c r="P38" i="25" s="1"/>
  <c r="P37" i="25"/>
  <c r="N49" i="30"/>
  <c r="N51" i="30" s="1"/>
  <c r="P57" i="17"/>
  <c r="P58" i="17" s="1"/>
  <c r="P20" i="17"/>
  <c r="P33" i="17" s="1"/>
  <c r="P35" i="17" s="1"/>
  <c r="P37" i="26"/>
  <c r="P33" i="26"/>
  <c r="P35" i="26" s="1"/>
  <c r="P38" i="26" s="1"/>
  <c r="N54" i="31"/>
  <c r="O55" i="31" s="1"/>
  <c r="O60" i="31" s="1"/>
  <c r="O46" i="30"/>
  <c r="O47" i="30" s="1"/>
  <c r="O50" i="30" s="1"/>
  <c r="O46" i="17"/>
  <c r="O47" i="17" s="1"/>
  <c r="O50" i="17" s="1"/>
  <c r="P20" i="29"/>
  <c r="P33" i="29" s="1"/>
  <c r="P35" i="29" s="1"/>
  <c r="P57" i="29"/>
  <c r="P58" i="29" s="1"/>
  <c r="P57" i="30"/>
  <c r="P58" i="30" s="1"/>
  <c r="P20" i="30"/>
  <c r="P33" i="30" s="1"/>
  <c r="P35" i="30" s="1"/>
  <c r="P57" i="31"/>
  <c r="P58" i="31" s="1"/>
  <c r="P20" i="31"/>
  <c r="P33" i="31" s="1"/>
  <c r="P35" i="31" s="1"/>
  <c r="O49" i="26"/>
  <c r="O20" i="16" s="1"/>
  <c r="F10" i="47" s="1"/>
  <c r="O42" i="27"/>
  <c r="O44" i="27" s="1"/>
  <c r="O52" i="27" s="1"/>
  <c r="O46" i="31"/>
  <c r="O47" i="31" s="1"/>
  <c r="O50" i="31" s="1"/>
  <c r="O2" i="16"/>
  <c r="O2" i="31"/>
  <c r="O2" i="25"/>
  <c r="O2" i="27"/>
  <c r="O2" i="17"/>
  <c r="O2" i="26"/>
  <c r="O2" i="30"/>
  <c r="O104" i="8"/>
  <c r="O106" i="8" s="1"/>
  <c r="O2" i="29"/>
  <c r="O2" i="8"/>
  <c r="O2" i="19"/>
  <c r="O2" i="32"/>
  <c r="O2" i="44"/>
  <c r="O38" i="8"/>
  <c r="O39" i="8" s="1"/>
  <c r="O24" i="8"/>
  <c r="O26" i="8" s="1"/>
  <c r="O2" i="48"/>
  <c r="O2" i="43"/>
  <c r="O48" i="8"/>
  <c r="O32" i="8"/>
  <c r="P21" i="8"/>
  <c r="O46" i="29"/>
  <c r="O47" i="29" s="1"/>
  <c r="O50" i="29" s="1"/>
  <c r="N44" i="8"/>
  <c r="O45" i="8" s="1"/>
  <c r="N49" i="17"/>
  <c r="N51" i="17" s="1"/>
  <c r="P37" i="27"/>
  <c r="P33" i="27"/>
  <c r="P35" i="27" s="1"/>
  <c r="P38" i="27" s="1"/>
  <c r="F13" i="47"/>
  <c r="F16" i="47"/>
  <c r="F14" i="47"/>
  <c r="F15" i="47"/>
  <c r="F19" i="47"/>
  <c r="F17" i="47"/>
  <c r="F21" i="47"/>
  <c r="F18" i="47"/>
  <c r="O47" i="16"/>
  <c r="O48" i="16"/>
  <c r="O51" i="16"/>
  <c r="O52" i="16"/>
  <c r="O49" i="16"/>
  <c r="O46" i="16"/>
  <c r="O50" i="16"/>
  <c r="O54" i="16"/>
  <c r="N3" i="53" l="1"/>
  <c r="P62" i="53"/>
  <c r="P63" i="53" s="1"/>
  <c r="P65" i="53" s="1"/>
  <c r="P66" i="53"/>
  <c r="P67" i="53" s="1"/>
  <c r="P14" i="16" s="1"/>
  <c r="G8" i="47" s="1"/>
  <c r="X5" i="53"/>
  <c r="P66" i="31"/>
  <c r="P67" i="31" s="1"/>
  <c r="P13" i="16" s="1"/>
  <c r="G7" i="47" s="1"/>
  <c r="P62" i="31"/>
  <c r="P63" i="31" s="1"/>
  <c r="P65" i="31" s="1"/>
  <c r="P41" i="53"/>
  <c r="P43" i="53" s="1"/>
  <c r="P46" i="53" s="1"/>
  <c r="P45" i="53"/>
  <c r="O68" i="8"/>
  <c r="O70" i="8" s="1"/>
  <c r="O26" i="53"/>
  <c r="O30" i="53" s="1"/>
  <c r="V43" i="27"/>
  <c r="V34" i="53"/>
  <c r="O16" i="53"/>
  <c r="O17" i="53" s="1"/>
  <c r="Q18" i="53" s="1"/>
  <c r="O4" i="53"/>
  <c r="W14" i="32"/>
  <c r="W16" i="32" s="1"/>
  <c r="W34" i="53" s="1"/>
  <c r="W12" i="32"/>
  <c r="X5" i="16"/>
  <c r="X5" i="31"/>
  <c r="X5" i="44"/>
  <c r="X5" i="29"/>
  <c r="X5" i="19"/>
  <c r="X13" i="8"/>
  <c r="X14" i="8" s="1"/>
  <c r="H14" i="8" s="1"/>
  <c r="H105" i="8" s="1"/>
  <c r="X5" i="27"/>
  <c r="X5" i="25"/>
  <c r="X5" i="48"/>
  <c r="X5" i="32"/>
  <c r="F11" i="8"/>
  <c r="F94" i="8" s="1"/>
  <c r="X5" i="26"/>
  <c r="X5" i="8"/>
  <c r="X9" i="32"/>
  <c r="X10" i="32" s="1"/>
  <c r="X5" i="30"/>
  <c r="X5" i="17"/>
  <c r="X5" i="43"/>
  <c r="W20" i="8"/>
  <c r="W105" i="8"/>
  <c r="O53" i="27"/>
  <c r="O56" i="27" s="1"/>
  <c r="O57" i="27" s="1"/>
  <c r="O17" i="16" s="1"/>
  <c r="F9" i="47" s="1"/>
  <c r="O47" i="25"/>
  <c r="O53" i="25" s="1"/>
  <c r="O46" i="25"/>
  <c r="O52" i="25" s="1"/>
  <c r="V34" i="29"/>
  <c r="V26" i="27"/>
  <c r="V26" i="25"/>
  <c r="V34" i="30"/>
  <c r="V26" i="26"/>
  <c r="V34" i="31"/>
  <c r="V34" i="17"/>
  <c r="O87" i="8"/>
  <c r="O88" i="8" s="1"/>
  <c r="O64" i="8"/>
  <c r="O65" i="8"/>
  <c r="O69" i="8"/>
  <c r="P39" i="25"/>
  <c r="N54" i="17"/>
  <c r="O55" i="17" s="1"/>
  <c r="O60" i="17" s="1"/>
  <c r="O49" i="8"/>
  <c r="P41" i="29"/>
  <c r="P43" i="29" s="1"/>
  <c r="P46" i="29" s="1"/>
  <c r="P45" i="29"/>
  <c r="N54" i="30"/>
  <c r="O55" i="30" s="1"/>
  <c r="O60" i="30" s="1"/>
  <c r="O31" i="16"/>
  <c r="O32" i="16" s="1"/>
  <c r="P33" i="16" s="1"/>
  <c r="O4" i="16"/>
  <c r="O16" i="31"/>
  <c r="O17" i="31" s="1"/>
  <c r="Q18" i="31" s="1"/>
  <c r="O4" i="31"/>
  <c r="O4" i="25"/>
  <c r="O16" i="25"/>
  <c r="O17" i="25" s="1"/>
  <c r="Q18" i="25" s="1"/>
  <c r="Q20" i="25" s="1"/>
  <c r="Q25" i="25" s="1"/>
  <c r="Q27" i="25" s="1"/>
  <c r="O4" i="27"/>
  <c r="O16" i="26"/>
  <c r="O17" i="26" s="1"/>
  <c r="Q18" i="26" s="1"/>
  <c r="Q20" i="26" s="1"/>
  <c r="Q25" i="26" s="1"/>
  <c r="Q27" i="26" s="1"/>
  <c r="O16" i="27"/>
  <c r="O17" i="27" s="1"/>
  <c r="Q18" i="27" s="1"/>
  <c r="Q20" i="27" s="1"/>
  <c r="Q25" i="27" s="1"/>
  <c r="Q27" i="27" s="1"/>
  <c r="O4" i="17"/>
  <c r="O4" i="26"/>
  <c r="O4" i="30"/>
  <c r="O16" i="17"/>
  <c r="O17" i="17" s="1"/>
  <c r="Q18" i="17" s="1"/>
  <c r="O16" i="30"/>
  <c r="O17" i="30" s="1"/>
  <c r="Q18" i="30" s="1"/>
  <c r="O16" i="29"/>
  <c r="O17" i="29" s="1"/>
  <c r="Q18" i="29" s="1"/>
  <c r="O4" i="29"/>
  <c r="O4" i="32"/>
  <c r="O4" i="43"/>
  <c r="O4" i="48"/>
  <c r="O4" i="19"/>
  <c r="O4" i="8"/>
  <c r="O4" i="44"/>
  <c r="P41" i="31"/>
  <c r="P43" i="31" s="1"/>
  <c r="P46" i="31" s="1"/>
  <c r="P45" i="31"/>
  <c r="N3" i="16"/>
  <c r="N3" i="31"/>
  <c r="N3" i="25"/>
  <c r="N3" i="27"/>
  <c r="N3" i="26"/>
  <c r="N3" i="17"/>
  <c r="N3" i="30"/>
  <c r="N3" i="8"/>
  <c r="N3" i="43"/>
  <c r="N3" i="32"/>
  <c r="N3" i="19"/>
  <c r="N3" i="48"/>
  <c r="N3" i="44"/>
  <c r="N3" i="29"/>
  <c r="P39" i="26"/>
  <c r="N54" i="29"/>
  <c r="O55" i="29" s="1"/>
  <c r="O60" i="29" s="1"/>
  <c r="O26" i="31"/>
  <c r="O30" i="31" s="1"/>
  <c r="O26" i="30"/>
  <c r="O30" i="30" s="1"/>
  <c r="O26" i="29"/>
  <c r="O30" i="29" s="1"/>
  <c r="O26" i="17"/>
  <c r="O30" i="17" s="1"/>
  <c r="O51" i="8"/>
  <c r="P45" i="30"/>
  <c r="P41" i="30"/>
  <c r="P43" i="30" s="1"/>
  <c r="P46" i="30" s="1"/>
  <c r="P45" i="17"/>
  <c r="P41" i="17"/>
  <c r="P43" i="17" s="1"/>
  <c r="P46" i="17" s="1"/>
  <c r="P39" i="27"/>
  <c r="P42" i="27" s="1"/>
  <c r="P44" i="27" s="1"/>
  <c r="P52" i="27" s="1"/>
  <c r="P22" i="8"/>
  <c r="P25" i="8"/>
  <c r="P62" i="30"/>
  <c r="P63" i="30" s="1"/>
  <c r="P65" i="30" s="1"/>
  <c r="P66" i="30"/>
  <c r="P67" i="30" s="1"/>
  <c r="P12" i="16" s="1"/>
  <c r="G6" i="47" s="1"/>
  <c r="P62" i="17"/>
  <c r="P63" i="17" s="1"/>
  <c r="P65" i="17" s="1"/>
  <c r="P66" i="17"/>
  <c r="P67" i="17" s="1"/>
  <c r="P11" i="16" s="1"/>
  <c r="G5" i="47" s="1"/>
  <c r="O33" i="8"/>
  <c r="O44" i="8" s="1"/>
  <c r="P45" i="8" s="1"/>
  <c r="O34" i="8"/>
  <c r="O72" i="8" s="1"/>
  <c r="P66" i="29"/>
  <c r="P67" i="29" s="1"/>
  <c r="P10" i="16" s="1"/>
  <c r="G4" i="47" s="1"/>
  <c r="P62" i="29"/>
  <c r="P63" i="29" s="1"/>
  <c r="P65" i="29" s="1"/>
  <c r="P2" i="53" l="1"/>
  <c r="G20" i="47"/>
  <c r="P53" i="16"/>
  <c r="O49" i="53"/>
  <c r="O51" i="53" s="1"/>
  <c r="O54" i="53" s="1"/>
  <c r="P55" i="53" s="1"/>
  <c r="P60" i="53" s="1"/>
  <c r="F30" i="47"/>
  <c r="W29" i="53"/>
  <c r="W61" i="53"/>
  <c r="Q20" i="53"/>
  <c r="Q33" i="53" s="1"/>
  <c r="Q35" i="53" s="1"/>
  <c r="Q57" i="53"/>
  <c r="Q58" i="53" s="1"/>
  <c r="P47" i="53"/>
  <c r="P50" i="53" s="1"/>
  <c r="P68" i="8"/>
  <c r="P70" i="8" s="1"/>
  <c r="P26" i="53"/>
  <c r="P30" i="53" s="1"/>
  <c r="X20" i="8"/>
  <c r="X105" i="8"/>
  <c r="X12" i="32"/>
  <c r="X14" i="32"/>
  <c r="X16" i="32" s="1"/>
  <c r="X34" i="53" s="1"/>
  <c r="H20" i="8"/>
  <c r="W61" i="30"/>
  <c r="W61" i="29"/>
  <c r="W61" i="17"/>
  <c r="W29" i="17"/>
  <c r="W29" i="29"/>
  <c r="W29" i="30"/>
  <c r="W61" i="31"/>
  <c r="W29" i="31"/>
  <c r="O54" i="25"/>
  <c r="O60" i="25" s="1"/>
  <c r="O62" i="25" s="1"/>
  <c r="O23" i="16" s="1"/>
  <c r="F11" i="47" s="1"/>
  <c r="O55" i="25"/>
  <c r="O61" i="25" s="1"/>
  <c r="O63" i="25" s="1"/>
  <c r="O24" i="16" s="1"/>
  <c r="F12" i="47" s="1"/>
  <c r="P42" i="26"/>
  <c r="P44" i="26" s="1"/>
  <c r="P48" i="26" s="1"/>
  <c r="P49" i="26" s="1"/>
  <c r="P20" i="16" s="1"/>
  <c r="G10" i="47" s="1"/>
  <c r="P53" i="27"/>
  <c r="P56" i="27" s="1"/>
  <c r="P57" i="27" s="1"/>
  <c r="P17" i="16" s="1"/>
  <c r="G9" i="47" s="1"/>
  <c r="P41" i="25"/>
  <c r="P45" i="25" s="1"/>
  <c r="W34" i="30"/>
  <c r="W26" i="26"/>
  <c r="W34" i="17"/>
  <c r="W34" i="29"/>
  <c r="W34" i="31"/>
  <c r="W26" i="27"/>
  <c r="W26" i="25"/>
  <c r="W43" i="27"/>
  <c r="P61" i="8"/>
  <c r="P62" i="8" s="1"/>
  <c r="O66" i="8"/>
  <c r="O77" i="8" s="1"/>
  <c r="O56" i="8"/>
  <c r="O53" i="8"/>
  <c r="P47" i="29"/>
  <c r="P50" i="29" s="1"/>
  <c r="P47" i="17"/>
  <c r="P50" i="17" s="1"/>
  <c r="P47" i="30"/>
  <c r="P50" i="30" s="1"/>
  <c r="Q37" i="27"/>
  <c r="Q33" i="27"/>
  <c r="Q35" i="27" s="1"/>
  <c r="Q38" i="27" s="1"/>
  <c r="G16" i="47"/>
  <c r="G19" i="47"/>
  <c r="G17" i="47"/>
  <c r="G18" i="47"/>
  <c r="G13" i="47"/>
  <c r="G15" i="47"/>
  <c r="G21" i="47"/>
  <c r="G14" i="47"/>
  <c r="P47" i="16"/>
  <c r="P48" i="16"/>
  <c r="P51" i="16"/>
  <c r="P49" i="16"/>
  <c r="P52" i="16"/>
  <c r="P54" i="16"/>
  <c r="P46" i="16"/>
  <c r="P50" i="16"/>
  <c r="P47" i="31"/>
  <c r="P50" i="31" s="1"/>
  <c r="Q37" i="26"/>
  <c r="Q33" i="26"/>
  <c r="Q35" i="26" s="1"/>
  <c r="Q38" i="26" s="1"/>
  <c r="Q57" i="29"/>
  <c r="Q58" i="29" s="1"/>
  <c r="Q20" i="29"/>
  <c r="Q33" i="29" s="1"/>
  <c r="Q35" i="29" s="1"/>
  <c r="Q57" i="30"/>
  <c r="Q58" i="30" s="1"/>
  <c r="Q20" i="30"/>
  <c r="Q33" i="30" s="1"/>
  <c r="Q35" i="30" s="1"/>
  <c r="Q33" i="25"/>
  <c r="Q35" i="25" s="1"/>
  <c r="Q38" i="25" s="1"/>
  <c r="Q37" i="25"/>
  <c r="O84" i="8"/>
  <c r="P85" i="8" s="1"/>
  <c r="O52" i="8"/>
  <c r="F24" i="47"/>
  <c r="O49" i="17"/>
  <c r="O51" i="17" s="1"/>
  <c r="Q20" i="17"/>
  <c r="Q33" i="17" s="1"/>
  <c r="Q35" i="17" s="1"/>
  <c r="Q57" i="17"/>
  <c r="Q58" i="17" s="1"/>
  <c r="P2" i="16"/>
  <c r="P2" i="31"/>
  <c r="P2" i="25"/>
  <c r="P2" i="27"/>
  <c r="P2" i="29"/>
  <c r="P2" i="26"/>
  <c r="P2" i="30"/>
  <c r="P2" i="32"/>
  <c r="P2" i="17"/>
  <c r="P38" i="8"/>
  <c r="P39" i="8" s="1"/>
  <c r="P104" i="8"/>
  <c r="P106" i="8" s="1"/>
  <c r="P32" i="8"/>
  <c r="P48" i="8"/>
  <c r="P24" i="8"/>
  <c r="P26" i="8" s="1"/>
  <c r="P2" i="43"/>
  <c r="P2" i="44"/>
  <c r="P2" i="48"/>
  <c r="P2" i="8"/>
  <c r="P2" i="19"/>
  <c r="Q21" i="8"/>
  <c r="F22" i="47"/>
  <c r="O49" i="29"/>
  <c r="O51" i="29" s="1"/>
  <c r="F26" i="47"/>
  <c r="O49" i="30"/>
  <c r="O51" i="30" s="1"/>
  <c r="Q57" i="31"/>
  <c r="Q58" i="31" s="1"/>
  <c r="Q20" i="31"/>
  <c r="Q33" i="31" s="1"/>
  <c r="Q35" i="31" s="1"/>
  <c r="P26" i="31"/>
  <c r="P30" i="31" s="1"/>
  <c r="P26" i="30"/>
  <c r="P30" i="30" s="1"/>
  <c r="P26" i="17"/>
  <c r="P30" i="17" s="1"/>
  <c r="P26" i="29"/>
  <c r="P30" i="29" s="1"/>
  <c r="P51" i="8"/>
  <c r="O49" i="31"/>
  <c r="O51" i="31" s="1"/>
  <c r="F28" i="47"/>
  <c r="Q66" i="31" l="1"/>
  <c r="Q67" i="31" s="1"/>
  <c r="Q13" i="16" s="1"/>
  <c r="H7" i="47" s="1"/>
  <c r="Q62" i="31"/>
  <c r="Q63" i="31" s="1"/>
  <c r="Q65" i="31" s="1"/>
  <c r="Q66" i="53"/>
  <c r="Q67" i="53" s="1"/>
  <c r="Q14" i="16" s="1"/>
  <c r="H8" i="47" s="1"/>
  <c r="Q62" i="53"/>
  <c r="Q63" i="53" s="1"/>
  <c r="Q65" i="53" s="1"/>
  <c r="F31" i="47"/>
  <c r="P49" i="53"/>
  <c r="P51" i="53" s="1"/>
  <c r="G30" i="47"/>
  <c r="P16" i="53"/>
  <c r="P17" i="53" s="1"/>
  <c r="R18" i="53" s="1"/>
  <c r="P4" i="53"/>
  <c r="X61" i="53"/>
  <c r="X29" i="53"/>
  <c r="Q41" i="53"/>
  <c r="Q43" i="53" s="1"/>
  <c r="Q46" i="53" s="1"/>
  <c r="Q45" i="53"/>
  <c r="X29" i="30"/>
  <c r="X61" i="30"/>
  <c r="X29" i="17"/>
  <c r="X29" i="29"/>
  <c r="X61" i="17"/>
  <c r="X61" i="29"/>
  <c r="X29" i="31"/>
  <c r="X61" i="31"/>
  <c r="P46" i="25"/>
  <c r="P52" i="25" s="1"/>
  <c r="P47" i="25"/>
  <c r="P53" i="25" s="1"/>
  <c r="X43" i="27"/>
  <c r="X34" i="29"/>
  <c r="X34" i="30"/>
  <c r="X34" i="31"/>
  <c r="X34" i="17"/>
  <c r="X26" i="27"/>
  <c r="X26" i="26"/>
  <c r="X26" i="25"/>
  <c r="Q39" i="25"/>
  <c r="O57" i="8"/>
  <c r="O58" i="8" s="1"/>
  <c r="O73" i="8"/>
  <c r="O74" i="8" s="1"/>
  <c r="O78" i="8" s="1"/>
  <c r="O79" i="8" s="1"/>
  <c r="P87" i="8"/>
  <c r="P88" i="8" s="1"/>
  <c r="P64" i="8"/>
  <c r="P65" i="8"/>
  <c r="P69" i="8"/>
  <c r="P53" i="8"/>
  <c r="P73" i="8" s="1"/>
  <c r="Q41" i="17"/>
  <c r="Q43" i="17" s="1"/>
  <c r="Q46" i="17" s="1"/>
  <c r="Q45" i="17"/>
  <c r="Q62" i="30"/>
  <c r="Q63" i="30" s="1"/>
  <c r="Q65" i="30" s="1"/>
  <c r="Q66" i="30"/>
  <c r="Q67" i="30" s="1"/>
  <c r="Q12" i="16" s="1"/>
  <c r="H6" i="47" s="1"/>
  <c r="O54" i="31"/>
  <c r="P55" i="31" s="1"/>
  <c r="P60" i="31" s="1"/>
  <c r="F29" i="47"/>
  <c r="F23" i="47"/>
  <c r="O54" i="29"/>
  <c r="F25" i="47"/>
  <c r="O54" i="17"/>
  <c r="Q45" i="29"/>
  <c r="Q41" i="29"/>
  <c r="Q43" i="29" s="1"/>
  <c r="Q46" i="29" s="1"/>
  <c r="P49" i="8"/>
  <c r="Q62" i="29"/>
  <c r="Q63" i="29" s="1"/>
  <c r="Q65" i="29" s="1"/>
  <c r="Q66" i="29"/>
  <c r="Q67" i="29" s="1"/>
  <c r="Q10" i="16" s="1"/>
  <c r="H4" i="47" s="1"/>
  <c r="G22" i="47"/>
  <c r="P49" i="29"/>
  <c r="P51" i="29" s="1"/>
  <c r="Q25" i="8"/>
  <c r="Q22" i="8"/>
  <c r="P33" i="8"/>
  <c r="P44" i="8" s="1"/>
  <c r="Q45" i="8" s="1"/>
  <c r="P34" i="8"/>
  <c r="P72" i="8" s="1"/>
  <c r="G24" i="47"/>
  <c r="P49" i="17"/>
  <c r="P51" i="17" s="1"/>
  <c r="P16" i="31"/>
  <c r="P17" i="31" s="1"/>
  <c r="R18" i="31" s="1"/>
  <c r="P4" i="31"/>
  <c r="P4" i="16"/>
  <c r="P31" i="16"/>
  <c r="P32" i="16" s="1"/>
  <c r="Q33" i="16" s="1"/>
  <c r="P16" i="25"/>
  <c r="P17" i="25" s="1"/>
  <c r="R18" i="25" s="1"/>
  <c r="R20" i="25" s="1"/>
  <c r="R25" i="25" s="1"/>
  <c r="R27" i="25" s="1"/>
  <c r="P4" i="27"/>
  <c r="P4" i="25"/>
  <c r="P4" i="29"/>
  <c r="P4" i="26"/>
  <c r="P16" i="26"/>
  <c r="P17" i="26" s="1"/>
  <c r="R18" i="26" s="1"/>
  <c r="R20" i="26" s="1"/>
  <c r="R25" i="26" s="1"/>
  <c r="R27" i="26" s="1"/>
  <c r="P16" i="27"/>
  <c r="P17" i="27" s="1"/>
  <c r="R18" i="27" s="1"/>
  <c r="R20" i="27" s="1"/>
  <c r="R25" i="27" s="1"/>
  <c r="R27" i="27" s="1"/>
  <c r="P4" i="30"/>
  <c r="P4" i="17"/>
  <c r="P16" i="17"/>
  <c r="P17" i="17" s="1"/>
  <c r="R18" i="17" s="1"/>
  <c r="P16" i="29"/>
  <c r="P17" i="29" s="1"/>
  <c r="R18" i="29" s="1"/>
  <c r="P16" i="30"/>
  <c r="P17" i="30" s="1"/>
  <c r="R18" i="30" s="1"/>
  <c r="P4" i="32"/>
  <c r="P4" i="19"/>
  <c r="P4" i="8"/>
  <c r="P4" i="48"/>
  <c r="P4" i="44"/>
  <c r="P4" i="43"/>
  <c r="Q39" i="26"/>
  <c r="F27" i="47"/>
  <c r="O54" i="30"/>
  <c r="G26" i="47"/>
  <c r="P49" i="30"/>
  <c r="P51" i="30" s="1"/>
  <c r="G28" i="47"/>
  <c r="P49" i="31"/>
  <c r="P51" i="31" s="1"/>
  <c r="Q41" i="31"/>
  <c r="Q43" i="31" s="1"/>
  <c r="Q46" i="31" s="1"/>
  <c r="Q45" i="31"/>
  <c r="Q66" i="17"/>
  <c r="Q67" i="17" s="1"/>
  <c r="Q11" i="16" s="1"/>
  <c r="H5" i="47" s="1"/>
  <c r="Q62" i="17"/>
  <c r="Q63" i="17" s="1"/>
  <c r="Q65" i="17" s="1"/>
  <c r="Q41" i="30"/>
  <c r="Q43" i="30" s="1"/>
  <c r="Q46" i="30" s="1"/>
  <c r="Q45" i="30"/>
  <c r="Q39" i="27"/>
  <c r="Q42" i="27" s="1"/>
  <c r="Q44" i="27" s="1"/>
  <c r="Q52" i="27" s="1"/>
  <c r="Q2" i="53" l="1"/>
  <c r="O3" i="53"/>
  <c r="H20" i="47"/>
  <c r="Q53" i="16"/>
  <c r="P54" i="53"/>
  <c r="Q55" i="53" s="1"/>
  <c r="Q60" i="53" s="1"/>
  <c r="G31" i="47"/>
  <c r="Q68" i="8"/>
  <c r="Q70" i="8" s="1"/>
  <c r="Q26" i="53"/>
  <c r="Q30" i="53" s="1"/>
  <c r="Q47" i="53"/>
  <c r="Q50" i="53" s="1"/>
  <c r="R57" i="53"/>
  <c r="R58" i="53" s="1"/>
  <c r="R20" i="53"/>
  <c r="R33" i="53" s="1"/>
  <c r="R35" i="53" s="1"/>
  <c r="P55" i="25"/>
  <c r="P61" i="25" s="1"/>
  <c r="P63" i="25" s="1"/>
  <c r="P24" i="16" s="1"/>
  <c r="G12" i="47" s="1"/>
  <c r="P54" i="25"/>
  <c r="P60" i="25" s="1"/>
  <c r="P62" i="25" s="1"/>
  <c r="P23" i="16" s="1"/>
  <c r="G11" i="47" s="1"/>
  <c r="Q42" i="26"/>
  <c r="Q44" i="26" s="1"/>
  <c r="Q48" i="26" s="1"/>
  <c r="Q49" i="26" s="1"/>
  <c r="Q20" i="16" s="1"/>
  <c r="H10" i="47" s="1"/>
  <c r="Q53" i="27"/>
  <c r="Q56" i="27" s="1"/>
  <c r="Q57" i="27" s="1"/>
  <c r="Q17" i="16" s="1"/>
  <c r="H9" i="47" s="1"/>
  <c r="Q41" i="25"/>
  <c r="Q45" i="25" s="1"/>
  <c r="P74" i="8"/>
  <c r="P78" i="8" s="1"/>
  <c r="Q61" i="8"/>
  <c r="Q62" i="8" s="1"/>
  <c r="O3" i="44"/>
  <c r="O3" i="26"/>
  <c r="O3" i="25"/>
  <c r="O3" i="29"/>
  <c r="O3" i="8"/>
  <c r="O3" i="17"/>
  <c r="O3" i="27"/>
  <c r="O3" i="32"/>
  <c r="O3" i="48"/>
  <c r="O3" i="19"/>
  <c r="O3" i="31"/>
  <c r="Q47" i="30"/>
  <c r="Q50" i="30" s="1"/>
  <c r="O3" i="43"/>
  <c r="P66" i="8"/>
  <c r="P77" i="8" s="1"/>
  <c r="O3" i="16"/>
  <c r="O3" i="30"/>
  <c r="P56" i="8"/>
  <c r="P57" i="8"/>
  <c r="Q47" i="31"/>
  <c r="Q50" i="31" s="1"/>
  <c r="R57" i="30"/>
  <c r="R58" i="30" s="1"/>
  <c r="R20" i="30"/>
  <c r="R33" i="30" s="1"/>
  <c r="R35" i="30" s="1"/>
  <c r="G25" i="47"/>
  <c r="P54" i="17"/>
  <c r="P55" i="17" s="1"/>
  <c r="P60" i="17" s="1"/>
  <c r="R57" i="29"/>
  <c r="R58" i="29" s="1"/>
  <c r="R20" i="29"/>
  <c r="R33" i="29" s="1"/>
  <c r="R35" i="29" s="1"/>
  <c r="R20" i="17"/>
  <c r="R33" i="17" s="1"/>
  <c r="R35" i="17" s="1"/>
  <c r="R57" i="17"/>
  <c r="R58" i="17" s="1"/>
  <c r="P84" i="8"/>
  <c r="Q85" i="8" s="1"/>
  <c r="P52" i="8"/>
  <c r="R33" i="25"/>
  <c r="R35" i="25" s="1"/>
  <c r="R38" i="25" s="1"/>
  <c r="R37" i="25"/>
  <c r="Q26" i="31"/>
  <c r="Q30" i="31" s="1"/>
  <c r="Q26" i="30"/>
  <c r="Q30" i="30" s="1"/>
  <c r="Q26" i="29"/>
  <c r="Q30" i="29" s="1"/>
  <c r="Q26" i="17"/>
  <c r="Q30" i="17" s="1"/>
  <c r="Q51" i="8"/>
  <c r="H19" i="47"/>
  <c r="H14" i="47"/>
  <c r="H21" i="47"/>
  <c r="H13" i="47"/>
  <c r="H16" i="47"/>
  <c r="H15" i="47"/>
  <c r="H18" i="47"/>
  <c r="H17" i="47"/>
  <c r="Q47" i="16"/>
  <c r="Q48" i="16"/>
  <c r="Q51" i="16"/>
  <c r="Q49" i="16"/>
  <c r="Q52" i="16"/>
  <c r="Q54" i="16"/>
  <c r="Q46" i="16"/>
  <c r="Q50" i="16"/>
  <c r="Q2" i="16"/>
  <c r="Q2" i="31"/>
  <c r="Q2" i="25"/>
  <c r="Q2" i="27"/>
  <c r="Q2" i="26"/>
  <c r="Q2" i="17"/>
  <c r="Q2" i="30"/>
  <c r="Q2" i="29"/>
  <c r="Q104" i="8"/>
  <c r="Q106" i="8" s="1"/>
  <c r="Q32" i="8"/>
  <c r="Q2" i="32"/>
  <c r="Q38" i="8"/>
  <c r="Q39" i="8" s="1"/>
  <c r="Q2" i="19"/>
  <c r="Q2" i="44"/>
  <c r="Q48" i="8"/>
  <c r="Q24" i="8"/>
  <c r="Q26" i="8" s="1"/>
  <c r="Q2" i="43"/>
  <c r="Q2" i="8"/>
  <c r="Q2" i="48"/>
  <c r="R21" i="8"/>
  <c r="P54" i="31"/>
  <c r="Q55" i="31" s="1"/>
  <c r="Q60" i="31" s="1"/>
  <c r="G29" i="47"/>
  <c r="R37" i="27"/>
  <c r="R33" i="27"/>
  <c r="R35" i="27" s="1"/>
  <c r="R38" i="27" s="1"/>
  <c r="Q47" i="29"/>
  <c r="Q50" i="29" s="1"/>
  <c r="R37" i="26"/>
  <c r="R33" i="26"/>
  <c r="R35" i="26" s="1"/>
  <c r="R38" i="26" s="1"/>
  <c r="G23" i="47"/>
  <c r="P54" i="29"/>
  <c r="P55" i="29" s="1"/>
  <c r="P60" i="29" s="1"/>
  <c r="Q47" i="17"/>
  <c r="Q50" i="17" s="1"/>
  <c r="G27" i="47"/>
  <c r="P54" i="30"/>
  <c r="R57" i="31"/>
  <c r="R58" i="31" s="1"/>
  <c r="R20" i="31"/>
  <c r="R33" i="31" s="1"/>
  <c r="R35" i="31" s="1"/>
  <c r="R62" i="31" l="1"/>
  <c r="R63" i="31" s="1"/>
  <c r="R65" i="31" s="1"/>
  <c r="R66" i="31"/>
  <c r="R67" i="31" s="1"/>
  <c r="R13" i="16" s="1"/>
  <c r="I7" i="47" s="1"/>
  <c r="R66" i="53"/>
  <c r="R67" i="53" s="1"/>
  <c r="R14" i="16" s="1"/>
  <c r="I8" i="47" s="1"/>
  <c r="R62" i="53"/>
  <c r="R63" i="53" s="1"/>
  <c r="R65" i="53" s="1"/>
  <c r="Q49" i="53"/>
  <c r="Q51" i="53" s="1"/>
  <c r="H30" i="47"/>
  <c r="R45" i="53"/>
  <c r="R41" i="53"/>
  <c r="R43" i="53" s="1"/>
  <c r="R46" i="53" s="1"/>
  <c r="Q4" i="53"/>
  <c r="Q16" i="53"/>
  <c r="Q17" i="53" s="1"/>
  <c r="S18" i="53" s="1"/>
  <c r="Q47" i="25"/>
  <c r="Q53" i="25" s="1"/>
  <c r="Q46" i="25"/>
  <c r="Q52" i="25" s="1"/>
  <c r="P79" i="8"/>
  <c r="P58" i="8"/>
  <c r="Q87" i="8"/>
  <c r="Q88" i="8" s="1"/>
  <c r="Q64" i="8"/>
  <c r="Q65" i="8"/>
  <c r="Q69" i="8"/>
  <c r="R39" i="26"/>
  <c r="Q53" i="8"/>
  <c r="Q73" i="8" s="1"/>
  <c r="R39" i="27"/>
  <c r="R42" i="27" s="1"/>
  <c r="R44" i="27" s="1"/>
  <c r="R52" i="27" s="1"/>
  <c r="Q49" i="8"/>
  <c r="H24" i="47"/>
  <c r="Q49" i="17"/>
  <c r="Q51" i="17" s="1"/>
  <c r="R45" i="29"/>
  <c r="R41" i="29"/>
  <c r="R43" i="29" s="1"/>
  <c r="R46" i="29" s="1"/>
  <c r="H22" i="47"/>
  <c r="Q49" i="29"/>
  <c r="Q51" i="29" s="1"/>
  <c r="R66" i="29"/>
  <c r="R67" i="29" s="1"/>
  <c r="R10" i="16" s="1"/>
  <c r="I4" i="47" s="1"/>
  <c r="R62" i="29"/>
  <c r="R63" i="29" s="1"/>
  <c r="R65" i="29" s="1"/>
  <c r="H26" i="47"/>
  <c r="Q49" i="30"/>
  <c r="Q51" i="30" s="1"/>
  <c r="R22" i="8"/>
  <c r="R25" i="8"/>
  <c r="H28" i="47"/>
  <c r="Q49" i="31"/>
  <c r="Q51" i="31" s="1"/>
  <c r="R41" i="31"/>
  <c r="R43" i="31" s="1"/>
  <c r="R46" i="31" s="1"/>
  <c r="R45" i="31"/>
  <c r="R39" i="25"/>
  <c r="Q33" i="8"/>
  <c r="Q44" i="8" s="1"/>
  <c r="R45" i="8" s="1"/>
  <c r="Q34" i="8"/>
  <c r="Q72" i="8" s="1"/>
  <c r="R41" i="30"/>
  <c r="R43" i="30" s="1"/>
  <c r="R46" i="30" s="1"/>
  <c r="R45" i="30"/>
  <c r="Q31" i="16"/>
  <c r="Q32" i="16" s="1"/>
  <c r="R33" i="16" s="1"/>
  <c r="Q4" i="16"/>
  <c r="Q16" i="31"/>
  <c r="Q17" i="31" s="1"/>
  <c r="S18" i="31" s="1"/>
  <c r="Q4" i="31"/>
  <c r="Q16" i="25"/>
  <c r="Q17" i="25" s="1"/>
  <c r="S18" i="25" s="1"/>
  <c r="S20" i="25" s="1"/>
  <c r="S25" i="25" s="1"/>
  <c r="S27" i="25" s="1"/>
  <c r="Q16" i="26"/>
  <c r="Q17" i="26" s="1"/>
  <c r="S18" i="26" s="1"/>
  <c r="S20" i="26" s="1"/>
  <c r="S25" i="26" s="1"/>
  <c r="S27" i="26" s="1"/>
  <c r="Q4" i="27"/>
  <c r="Q4" i="25"/>
  <c r="Q4" i="26"/>
  <c r="Q16" i="30"/>
  <c r="Q17" i="30" s="1"/>
  <c r="S18" i="30" s="1"/>
  <c r="S20" i="30" s="1"/>
  <c r="Q4" i="30"/>
  <c r="Q16" i="27"/>
  <c r="Q17" i="27" s="1"/>
  <c r="S18" i="27" s="1"/>
  <c r="S20" i="27" s="1"/>
  <c r="S25" i="27" s="1"/>
  <c r="S27" i="27" s="1"/>
  <c r="Q16" i="17"/>
  <c r="Q17" i="17" s="1"/>
  <c r="S18" i="17" s="1"/>
  <c r="Q16" i="29"/>
  <c r="Q17" i="29" s="1"/>
  <c r="S18" i="29" s="1"/>
  <c r="Q4" i="17"/>
  <c r="Q4" i="32"/>
  <c r="Q4" i="19"/>
  <c r="Q4" i="44"/>
  <c r="Q4" i="29"/>
  <c r="Q4" i="8"/>
  <c r="Q4" i="43"/>
  <c r="Q4" i="48"/>
  <c r="R66" i="17"/>
  <c r="R67" i="17" s="1"/>
  <c r="R11" i="16" s="1"/>
  <c r="I5" i="47" s="1"/>
  <c r="R62" i="17"/>
  <c r="R63" i="17" s="1"/>
  <c r="R65" i="17" s="1"/>
  <c r="R66" i="30"/>
  <c r="R67" i="30" s="1"/>
  <c r="R12" i="16" s="1"/>
  <c r="I6" i="47" s="1"/>
  <c r="R62" i="30"/>
  <c r="R63" i="30" s="1"/>
  <c r="R65" i="30" s="1"/>
  <c r="R45" i="17"/>
  <c r="R41" i="17"/>
  <c r="R43" i="17" s="1"/>
  <c r="R46" i="17" s="1"/>
  <c r="P55" i="30"/>
  <c r="P60" i="30" s="1"/>
  <c r="P3" i="53" l="1"/>
  <c r="R2" i="53"/>
  <c r="I20" i="47"/>
  <c r="R53" i="16"/>
  <c r="Q54" i="53"/>
  <c r="R55" i="53" s="1"/>
  <c r="R60" i="53" s="1"/>
  <c r="H31" i="47"/>
  <c r="R68" i="8"/>
  <c r="R26" i="53"/>
  <c r="R30" i="53" s="1"/>
  <c r="S20" i="53"/>
  <c r="S33" i="53" s="1"/>
  <c r="S35" i="53" s="1"/>
  <c r="S57" i="53"/>
  <c r="S58" i="53" s="1"/>
  <c r="R47" i="53"/>
  <c r="R50" i="53" s="1"/>
  <c r="P3" i="16"/>
  <c r="Q54" i="25"/>
  <c r="Q60" i="25" s="1"/>
  <c r="Q62" i="25" s="1"/>
  <c r="Q23" i="16" s="1"/>
  <c r="H11" i="47" s="1"/>
  <c r="Q55" i="25"/>
  <c r="Q61" i="25" s="1"/>
  <c r="Q63" i="25" s="1"/>
  <c r="Q24" i="16" s="1"/>
  <c r="H12" i="47" s="1"/>
  <c r="R42" i="26"/>
  <c r="R44" i="26" s="1"/>
  <c r="R48" i="26" s="1"/>
  <c r="R49" i="26" s="1"/>
  <c r="R20" i="16" s="1"/>
  <c r="I10" i="47" s="1"/>
  <c r="R53" i="27"/>
  <c r="R56" i="27" s="1"/>
  <c r="R57" i="27" s="1"/>
  <c r="R17" i="16" s="1"/>
  <c r="I9" i="47" s="1"/>
  <c r="R41" i="25"/>
  <c r="R45" i="25" s="1"/>
  <c r="R46" i="25" s="1"/>
  <c r="R52" i="25" s="1"/>
  <c r="P3" i="29"/>
  <c r="P3" i="32"/>
  <c r="P3" i="30"/>
  <c r="P3" i="44"/>
  <c r="P3" i="27"/>
  <c r="P3" i="8"/>
  <c r="P3" i="17"/>
  <c r="P3" i="43"/>
  <c r="P3" i="31"/>
  <c r="P3" i="25"/>
  <c r="P3" i="19"/>
  <c r="P3" i="26"/>
  <c r="P3" i="48"/>
  <c r="R70" i="8"/>
  <c r="R61" i="8"/>
  <c r="R62" i="8" s="1"/>
  <c r="Q74" i="8"/>
  <c r="Q78" i="8" s="1"/>
  <c r="Q66" i="8"/>
  <c r="Q77" i="8" s="1"/>
  <c r="Q56" i="8"/>
  <c r="Q57" i="8"/>
  <c r="R47" i="31"/>
  <c r="R50" i="31" s="1"/>
  <c r="S57" i="29"/>
  <c r="S58" i="29" s="1"/>
  <c r="S20" i="29"/>
  <c r="S33" i="29" s="1"/>
  <c r="S35" i="29" s="1"/>
  <c r="S33" i="26"/>
  <c r="S35" i="26" s="1"/>
  <c r="S38" i="26" s="1"/>
  <c r="S37" i="26"/>
  <c r="H29" i="47"/>
  <c r="Q54" i="31"/>
  <c r="R55" i="31" s="1"/>
  <c r="R60" i="31" s="1"/>
  <c r="H23" i="47"/>
  <c r="Q54" i="29"/>
  <c r="S33" i="27"/>
  <c r="S35" i="27" s="1"/>
  <c r="S38" i="27" s="1"/>
  <c r="S37" i="27"/>
  <c r="R26" i="31"/>
  <c r="R30" i="31" s="1"/>
  <c r="R26" i="30"/>
  <c r="R30" i="30" s="1"/>
  <c r="R26" i="17"/>
  <c r="R30" i="17" s="1"/>
  <c r="R26" i="29"/>
  <c r="R30" i="29" s="1"/>
  <c r="R51" i="8"/>
  <c r="S57" i="31"/>
  <c r="S58" i="31" s="1"/>
  <c r="S20" i="31"/>
  <c r="S33" i="31" s="1"/>
  <c r="S35" i="31" s="1"/>
  <c r="R2" i="16"/>
  <c r="R2" i="31"/>
  <c r="R2" i="25"/>
  <c r="R2" i="27"/>
  <c r="R2" i="26"/>
  <c r="R2" i="30"/>
  <c r="R2" i="17"/>
  <c r="R2" i="32"/>
  <c r="R38" i="8"/>
  <c r="R39" i="8" s="1"/>
  <c r="R2" i="29"/>
  <c r="R24" i="8"/>
  <c r="R26" i="8" s="1"/>
  <c r="R32" i="8"/>
  <c r="R48" i="8"/>
  <c r="R2" i="8"/>
  <c r="R2" i="43"/>
  <c r="R2" i="19"/>
  <c r="R2" i="48"/>
  <c r="R104" i="8"/>
  <c r="R106" i="8" s="1"/>
  <c r="R2" i="44"/>
  <c r="S21" i="8"/>
  <c r="R47" i="29"/>
  <c r="R50" i="29" s="1"/>
  <c r="S57" i="30"/>
  <c r="S58" i="30" s="1"/>
  <c r="S33" i="30"/>
  <c r="S35" i="30" s="1"/>
  <c r="H27" i="47"/>
  <c r="Q54" i="30"/>
  <c r="H25" i="47"/>
  <c r="Q54" i="17"/>
  <c r="S57" i="17"/>
  <c r="S58" i="17" s="1"/>
  <c r="S20" i="17"/>
  <c r="S33" i="17" s="1"/>
  <c r="S35" i="17" s="1"/>
  <c r="R47" i="16"/>
  <c r="I14" i="47" s="1"/>
  <c r="R48" i="16"/>
  <c r="I15" i="47" s="1"/>
  <c r="R51" i="16"/>
  <c r="I18" i="47" s="1"/>
  <c r="R52" i="16"/>
  <c r="I19" i="47" s="1"/>
  <c r="R49" i="16"/>
  <c r="I16" i="47" s="1"/>
  <c r="R50" i="16"/>
  <c r="I17" i="47" s="1"/>
  <c r="R54" i="16"/>
  <c r="I21" i="47" s="1"/>
  <c r="R46" i="16"/>
  <c r="I13" i="47" s="1"/>
  <c r="R47" i="17"/>
  <c r="R50" i="17" s="1"/>
  <c r="Q84" i="8"/>
  <c r="R85" i="8" s="1"/>
  <c r="Q52" i="8"/>
  <c r="S37" i="25"/>
  <c r="S33" i="25"/>
  <c r="S35" i="25" s="1"/>
  <c r="S38" i="25" s="1"/>
  <c r="R47" i="30"/>
  <c r="R50" i="30" s="1"/>
  <c r="S66" i="53" l="1"/>
  <c r="S67" i="53" s="1"/>
  <c r="S14" i="16" s="1"/>
  <c r="J8" i="47" s="1"/>
  <c r="S62" i="53"/>
  <c r="S63" i="53" s="1"/>
  <c r="S65" i="53" s="1"/>
  <c r="S66" i="31"/>
  <c r="S67" i="31" s="1"/>
  <c r="S13" i="16" s="1"/>
  <c r="J7" i="47" s="1"/>
  <c r="S62" i="31"/>
  <c r="S63" i="31" s="1"/>
  <c r="S65" i="31" s="1"/>
  <c r="R49" i="53"/>
  <c r="R51" i="53" s="1"/>
  <c r="I30" i="47"/>
  <c r="R16" i="53"/>
  <c r="R17" i="53" s="1"/>
  <c r="T18" i="53" s="1"/>
  <c r="R4" i="53"/>
  <c r="S45" i="53"/>
  <c r="S41" i="53"/>
  <c r="S43" i="53" s="1"/>
  <c r="S46" i="53" s="1"/>
  <c r="R54" i="25"/>
  <c r="R60" i="25" s="1"/>
  <c r="R62" i="25" s="1"/>
  <c r="R23" i="16" s="1"/>
  <c r="I11" i="47" s="1"/>
  <c r="R47" i="25"/>
  <c r="R53" i="25" s="1"/>
  <c r="S66" i="29"/>
  <c r="Q79" i="8"/>
  <c r="R87" i="8"/>
  <c r="R88" i="8" s="1"/>
  <c r="R64" i="8"/>
  <c r="R65" i="8"/>
  <c r="R69" i="8"/>
  <c r="Q58" i="8"/>
  <c r="S39" i="26"/>
  <c r="S39" i="25"/>
  <c r="Q55" i="30"/>
  <c r="Q60" i="30" s="1"/>
  <c r="S39" i="27"/>
  <c r="S42" i="27" s="1"/>
  <c r="S44" i="27" s="1"/>
  <c r="S52" i="27" s="1"/>
  <c r="Q55" i="29"/>
  <c r="Q60" i="29" s="1"/>
  <c r="S41" i="31"/>
  <c r="S43" i="31" s="1"/>
  <c r="S46" i="31" s="1"/>
  <c r="S45" i="31"/>
  <c r="S45" i="30"/>
  <c r="S41" i="30"/>
  <c r="S43" i="30" s="1"/>
  <c r="S46" i="30" s="1"/>
  <c r="S62" i="30"/>
  <c r="R53" i="8"/>
  <c r="R73" i="8" s="1"/>
  <c r="S45" i="17"/>
  <c r="S41" i="17"/>
  <c r="S43" i="17" s="1"/>
  <c r="S46" i="17" s="1"/>
  <c r="R49" i="8"/>
  <c r="I22" i="47"/>
  <c r="R49" i="29"/>
  <c r="R51" i="29" s="1"/>
  <c r="S62" i="17"/>
  <c r="S25" i="8"/>
  <c r="S22" i="8"/>
  <c r="R33" i="8"/>
  <c r="R44" i="8" s="1"/>
  <c r="S45" i="8" s="1"/>
  <c r="R34" i="8"/>
  <c r="R72" i="8" s="1"/>
  <c r="I24" i="47"/>
  <c r="R49" i="17"/>
  <c r="R51" i="17" s="1"/>
  <c r="Q55" i="17"/>
  <c r="Q60" i="17" s="1"/>
  <c r="I26" i="47"/>
  <c r="R49" i="30"/>
  <c r="R51" i="30" s="1"/>
  <c r="S45" i="29"/>
  <c r="S41" i="29"/>
  <c r="S43" i="29" s="1"/>
  <c r="S46" i="29" s="1"/>
  <c r="R31" i="16"/>
  <c r="R32" i="16" s="1"/>
  <c r="S33" i="16" s="1"/>
  <c r="R4" i="16"/>
  <c r="R16" i="31"/>
  <c r="R17" i="31" s="1"/>
  <c r="T18" i="31" s="1"/>
  <c r="R4" i="31"/>
  <c r="R16" i="25"/>
  <c r="R17" i="25" s="1"/>
  <c r="T18" i="25" s="1"/>
  <c r="T20" i="25" s="1"/>
  <c r="T25" i="25" s="1"/>
  <c r="T27" i="25" s="1"/>
  <c r="R4" i="25"/>
  <c r="R4" i="27"/>
  <c r="R4" i="26"/>
  <c r="R16" i="27"/>
  <c r="R17" i="27" s="1"/>
  <c r="T18" i="27" s="1"/>
  <c r="T20" i="27" s="1"/>
  <c r="T25" i="27" s="1"/>
  <c r="T27" i="27" s="1"/>
  <c r="R16" i="26"/>
  <c r="R17" i="26" s="1"/>
  <c r="T18" i="26" s="1"/>
  <c r="T20" i="26" s="1"/>
  <c r="T25" i="26" s="1"/>
  <c r="T27" i="26" s="1"/>
  <c r="R16" i="17"/>
  <c r="R17" i="17" s="1"/>
  <c r="T18" i="17" s="1"/>
  <c r="R16" i="30"/>
  <c r="R17" i="30" s="1"/>
  <c r="T18" i="30" s="1"/>
  <c r="R4" i="30"/>
  <c r="R4" i="17"/>
  <c r="R4" i="29"/>
  <c r="R4" i="32"/>
  <c r="R16" i="29"/>
  <c r="R17" i="29" s="1"/>
  <c r="T18" i="29" s="1"/>
  <c r="T57" i="29" s="1"/>
  <c r="T58" i="29" s="1"/>
  <c r="T66" i="29" s="1"/>
  <c r="R4" i="8"/>
  <c r="R4" i="19"/>
  <c r="R4" i="43"/>
  <c r="R4" i="44"/>
  <c r="R4" i="48"/>
  <c r="R49" i="31"/>
  <c r="R51" i="31" s="1"/>
  <c r="I28" i="47"/>
  <c r="S62" i="29"/>
  <c r="Q3" i="53" l="1"/>
  <c r="S2" i="53"/>
  <c r="J20" i="47"/>
  <c r="S53" i="16"/>
  <c r="R54" i="53"/>
  <c r="S55" i="53" s="1"/>
  <c r="S60" i="53" s="1"/>
  <c r="I31" i="47"/>
  <c r="S68" i="8"/>
  <c r="S70" i="8" s="1"/>
  <c r="S26" i="53"/>
  <c r="S30" i="53" s="1"/>
  <c r="S47" i="53"/>
  <c r="S50" i="53" s="1"/>
  <c r="T57" i="53"/>
  <c r="T58" i="53" s="1"/>
  <c r="T20" i="53"/>
  <c r="T33" i="53" s="1"/>
  <c r="T35" i="53" s="1"/>
  <c r="Q3" i="25"/>
  <c r="R55" i="25"/>
  <c r="R61" i="25" s="1"/>
  <c r="R63" i="25" s="1"/>
  <c r="R24" i="16" s="1"/>
  <c r="I12" i="47" s="1"/>
  <c r="S42" i="26"/>
  <c r="S44" i="26" s="1"/>
  <c r="S48" i="26" s="1"/>
  <c r="S49" i="26" s="1"/>
  <c r="S20" i="16" s="1"/>
  <c r="J10" i="47" s="1"/>
  <c r="S53" i="27"/>
  <c r="S56" i="27" s="1"/>
  <c r="S57" i="27" s="1"/>
  <c r="S17" i="16" s="1"/>
  <c r="J9" i="47" s="1"/>
  <c r="S41" i="25"/>
  <c r="S45" i="25" s="1"/>
  <c r="S46" i="25" s="1"/>
  <c r="S52" i="25" s="1"/>
  <c r="Q3" i="16"/>
  <c r="Q3" i="26"/>
  <c r="Q3" i="27"/>
  <c r="Q3" i="30"/>
  <c r="Q3" i="17"/>
  <c r="Q3" i="32"/>
  <c r="Q3" i="8"/>
  <c r="Q3" i="44"/>
  <c r="Q3" i="48"/>
  <c r="Q3" i="31"/>
  <c r="S61" i="8"/>
  <c r="S62" i="8" s="1"/>
  <c r="R74" i="8"/>
  <c r="R78" i="8" s="1"/>
  <c r="Q3" i="29"/>
  <c r="R66" i="8"/>
  <c r="R77" i="8" s="1"/>
  <c r="Q3" i="19"/>
  <c r="Q3" i="43"/>
  <c r="R56" i="8"/>
  <c r="R57" i="8"/>
  <c r="S47" i="17"/>
  <c r="S50" i="17" s="1"/>
  <c r="I27" i="47"/>
  <c r="R54" i="30"/>
  <c r="S2" i="31"/>
  <c r="S2" i="16"/>
  <c r="S2" i="26"/>
  <c r="S2" i="25"/>
  <c r="S2" i="27"/>
  <c r="S2" i="29"/>
  <c r="S2" i="32"/>
  <c r="S2" i="30"/>
  <c r="S2" i="17"/>
  <c r="S24" i="8"/>
  <c r="S26" i="8" s="1"/>
  <c r="S2" i="8"/>
  <c r="S32" i="8"/>
  <c r="S2" i="44"/>
  <c r="S104" i="8"/>
  <c r="S106" i="8" s="1"/>
  <c r="S38" i="8"/>
  <c r="S39" i="8" s="1"/>
  <c r="S2" i="19"/>
  <c r="S2" i="48"/>
  <c r="S2" i="43"/>
  <c r="S48" i="8"/>
  <c r="T21" i="8"/>
  <c r="S47" i="31"/>
  <c r="S50" i="31" s="1"/>
  <c r="T37" i="25"/>
  <c r="T33" i="25"/>
  <c r="T35" i="25" s="1"/>
  <c r="T57" i="31"/>
  <c r="T58" i="31" s="1"/>
  <c r="T20" i="31"/>
  <c r="T33" i="31" s="1"/>
  <c r="T35" i="31" s="1"/>
  <c r="T33" i="26"/>
  <c r="T35" i="26" s="1"/>
  <c r="T37" i="26"/>
  <c r="I25" i="47"/>
  <c r="R54" i="17"/>
  <c r="I23" i="47"/>
  <c r="R54" i="29"/>
  <c r="T57" i="17"/>
  <c r="T58" i="17" s="1"/>
  <c r="T20" i="17"/>
  <c r="T33" i="17" s="1"/>
  <c r="T35" i="17" s="1"/>
  <c r="T33" i="27"/>
  <c r="T35" i="27" s="1"/>
  <c r="T37" i="27"/>
  <c r="J17" i="47"/>
  <c r="J21" i="47"/>
  <c r="J18" i="47"/>
  <c r="J19" i="47"/>
  <c r="J15" i="47"/>
  <c r="J13" i="47"/>
  <c r="J16" i="47"/>
  <c r="J14" i="47"/>
  <c r="S47" i="16"/>
  <c r="S48" i="16"/>
  <c r="S51" i="16"/>
  <c r="S52" i="16"/>
  <c r="S49" i="16"/>
  <c r="S46" i="16"/>
  <c r="S54" i="16"/>
  <c r="S50" i="16"/>
  <c r="T57" i="30"/>
  <c r="T58" i="30" s="1"/>
  <c r="T20" i="30"/>
  <c r="T33" i="30" s="1"/>
  <c r="T35" i="30" s="1"/>
  <c r="R84" i="8"/>
  <c r="S85" i="8" s="1"/>
  <c r="R52" i="8"/>
  <c r="S47" i="30"/>
  <c r="S50" i="30" s="1"/>
  <c r="T20" i="29"/>
  <c r="T33" i="29" s="1"/>
  <c r="T35" i="29" s="1"/>
  <c r="I29" i="47"/>
  <c r="R54" i="31"/>
  <c r="S55" i="31" s="1"/>
  <c r="S60" i="31" s="1"/>
  <c r="S47" i="29"/>
  <c r="S50" i="29" s="1"/>
  <c r="S26" i="30"/>
  <c r="S30" i="30" s="1"/>
  <c r="S26" i="31"/>
  <c r="S30" i="31" s="1"/>
  <c r="S26" i="17"/>
  <c r="S30" i="17" s="1"/>
  <c r="S26" i="29"/>
  <c r="S30" i="29" s="1"/>
  <c r="S51" i="8"/>
  <c r="T66" i="31" l="1"/>
  <c r="T67" i="31" s="1"/>
  <c r="T13" i="16" s="1"/>
  <c r="K7" i="47" s="1"/>
  <c r="T62" i="31"/>
  <c r="T63" i="31" s="1"/>
  <c r="T65" i="31" s="1"/>
  <c r="T66" i="53"/>
  <c r="T67" i="53" s="1"/>
  <c r="T14" i="16" s="1"/>
  <c r="K8" i="47" s="1"/>
  <c r="T62" i="53"/>
  <c r="T63" i="53" s="1"/>
  <c r="T65" i="53" s="1"/>
  <c r="S49" i="53"/>
  <c r="S51" i="53" s="1"/>
  <c r="J30" i="47"/>
  <c r="S16" i="53"/>
  <c r="S17" i="53" s="1"/>
  <c r="U18" i="53" s="1"/>
  <c r="S4" i="53"/>
  <c r="T41" i="53"/>
  <c r="T43" i="53" s="1"/>
  <c r="T45" i="53"/>
  <c r="H35" i="53"/>
  <c r="S54" i="25"/>
  <c r="S60" i="25" s="1"/>
  <c r="S62" i="25" s="1"/>
  <c r="S23" i="16" s="1"/>
  <c r="J11" i="47" s="1"/>
  <c r="S47" i="25"/>
  <c r="S53" i="25" s="1"/>
  <c r="R79" i="8"/>
  <c r="S87" i="8"/>
  <c r="S88" i="8" s="1"/>
  <c r="S64" i="8"/>
  <c r="S65" i="8"/>
  <c r="S69" i="8"/>
  <c r="S53" i="8"/>
  <c r="S73" i="8" s="1"/>
  <c r="R58" i="8"/>
  <c r="T62" i="30"/>
  <c r="S4" i="31"/>
  <c r="S16" i="31"/>
  <c r="S17" i="31" s="1"/>
  <c r="U18" i="31" s="1"/>
  <c r="S4" i="16"/>
  <c r="S31" i="16"/>
  <c r="S16" i="25"/>
  <c r="S17" i="25" s="1"/>
  <c r="U18" i="25" s="1"/>
  <c r="U20" i="25" s="1"/>
  <c r="U25" i="25" s="1"/>
  <c r="U27" i="25" s="1"/>
  <c r="S4" i="25"/>
  <c r="S4" i="26"/>
  <c r="S16" i="27"/>
  <c r="S17" i="27" s="1"/>
  <c r="U18" i="27" s="1"/>
  <c r="U20" i="27" s="1"/>
  <c r="U25" i="27" s="1"/>
  <c r="U27" i="27" s="1"/>
  <c r="S16" i="26"/>
  <c r="S17" i="26" s="1"/>
  <c r="U18" i="26" s="1"/>
  <c r="U20" i="26" s="1"/>
  <c r="U25" i="26" s="1"/>
  <c r="U27" i="26" s="1"/>
  <c r="S4" i="27"/>
  <c r="S16" i="29"/>
  <c r="S17" i="29" s="1"/>
  <c r="U18" i="29" s="1"/>
  <c r="S4" i="32"/>
  <c r="S4" i="17"/>
  <c r="S16" i="30"/>
  <c r="S17" i="30" s="1"/>
  <c r="U18" i="30" s="1"/>
  <c r="S4" i="30"/>
  <c r="S16" i="17"/>
  <c r="S17" i="17" s="1"/>
  <c r="U18" i="17" s="1"/>
  <c r="S4" i="29"/>
  <c r="S4" i="19"/>
  <c r="S4" i="48"/>
  <c r="S4" i="8"/>
  <c r="S4" i="44"/>
  <c r="S4" i="43"/>
  <c r="J24" i="47"/>
  <c r="S49" i="17"/>
  <c r="S51" i="17" s="1"/>
  <c r="T38" i="27"/>
  <c r="T39" i="27" s="1"/>
  <c r="H35" i="27"/>
  <c r="H38" i="27" s="1"/>
  <c r="T38" i="26"/>
  <c r="T39" i="26" s="1"/>
  <c r="T42" i="26" s="1"/>
  <c r="T44" i="26" s="1"/>
  <c r="T48" i="26" s="1"/>
  <c r="H35" i="26"/>
  <c r="H38" i="26" s="1"/>
  <c r="T22" i="8"/>
  <c r="T25" i="8"/>
  <c r="S33" i="8"/>
  <c r="S44" i="8" s="1"/>
  <c r="T45" i="8" s="1"/>
  <c r="S34" i="8"/>
  <c r="S72" i="8" s="1"/>
  <c r="T62" i="29"/>
  <c r="J28" i="47"/>
  <c r="S49" i="31"/>
  <c r="S51" i="31" s="1"/>
  <c r="T45" i="17"/>
  <c r="T41" i="17"/>
  <c r="T43" i="17" s="1"/>
  <c r="H35" i="17"/>
  <c r="S49" i="8"/>
  <c r="J22" i="47"/>
  <c r="S49" i="29"/>
  <c r="S51" i="29" s="1"/>
  <c r="J26" i="47"/>
  <c r="S49" i="30"/>
  <c r="S51" i="30" s="1"/>
  <c r="T62" i="17"/>
  <c r="T45" i="31"/>
  <c r="T41" i="31"/>
  <c r="T43" i="31" s="1"/>
  <c r="H35" i="31"/>
  <c r="R55" i="29"/>
  <c r="R60" i="29" s="1"/>
  <c r="R55" i="30"/>
  <c r="R60" i="30" s="1"/>
  <c r="T45" i="29"/>
  <c r="T41" i="29"/>
  <c r="T43" i="29" s="1"/>
  <c r="H35" i="29"/>
  <c r="T45" i="30"/>
  <c r="T41" i="30"/>
  <c r="T43" i="30" s="1"/>
  <c r="H35" i="30"/>
  <c r="R55" i="17"/>
  <c r="R60" i="17" s="1"/>
  <c r="T38" i="25"/>
  <c r="T39" i="25" s="1"/>
  <c r="H35" i="25"/>
  <c r="H38" i="25" s="1"/>
  <c r="T2" i="53" l="1"/>
  <c r="R3" i="53"/>
  <c r="S32" i="16"/>
  <c r="T33" i="16" s="1"/>
  <c r="S54" i="53"/>
  <c r="T55" i="53" s="1"/>
  <c r="T60" i="53" s="1"/>
  <c r="J31" i="47"/>
  <c r="H45" i="53"/>
  <c r="H41" i="53"/>
  <c r="T46" i="53"/>
  <c r="T47" i="53" s="1"/>
  <c r="T50" i="53" s="1"/>
  <c r="H43" i="53"/>
  <c r="H46" i="53" s="1"/>
  <c r="T68" i="8"/>
  <c r="T70" i="8" s="1"/>
  <c r="T26" i="53"/>
  <c r="T30" i="53" s="1"/>
  <c r="U20" i="53"/>
  <c r="U33" i="53" s="1"/>
  <c r="U35" i="53" s="1"/>
  <c r="U57" i="53"/>
  <c r="U58" i="53" s="1"/>
  <c r="R3" i="30"/>
  <c r="S55" i="25"/>
  <c r="S61" i="25" s="1"/>
  <c r="S63" i="25" s="1"/>
  <c r="S24" i="16" s="1"/>
  <c r="J12" i="47" s="1"/>
  <c r="R3" i="26"/>
  <c r="R3" i="25"/>
  <c r="R3" i="31"/>
  <c r="R3" i="16"/>
  <c r="R3" i="48"/>
  <c r="R3" i="8"/>
  <c r="R3" i="32"/>
  <c r="R3" i="29"/>
  <c r="R3" i="17"/>
  <c r="R3" i="27"/>
  <c r="S74" i="8"/>
  <c r="S78" i="8" s="1"/>
  <c r="R3" i="19"/>
  <c r="R3" i="44"/>
  <c r="R3" i="43"/>
  <c r="S52" i="8"/>
  <c r="S66" i="8"/>
  <c r="S77" i="8" s="1"/>
  <c r="U21" i="8"/>
  <c r="U25" i="8" s="1"/>
  <c r="T61" i="8"/>
  <c r="S56" i="8"/>
  <c r="S57" i="8"/>
  <c r="U57" i="17"/>
  <c r="U58" i="17" s="1"/>
  <c r="U20" i="17"/>
  <c r="U33" i="17" s="1"/>
  <c r="U35" i="17" s="1"/>
  <c r="U33" i="27"/>
  <c r="U35" i="27" s="1"/>
  <c r="U38" i="27" s="1"/>
  <c r="U37" i="27"/>
  <c r="U33" i="25"/>
  <c r="U35" i="25" s="1"/>
  <c r="U38" i="25" s="1"/>
  <c r="U37" i="25"/>
  <c r="U57" i="29"/>
  <c r="U58" i="29" s="1"/>
  <c r="U62" i="29" s="1"/>
  <c r="U20" i="29"/>
  <c r="U33" i="29" s="1"/>
  <c r="U35" i="29" s="1"/>
  <c r="U57" i="30"/>
  <c r="U58" i="30" s="1"/>
  <c r="U62" i="30" s="1"/>
  <c r="U20" i="30"/>
  <c r="U33" i="30" s="1"/>
  <c r="U35" i="30" s="1"/>
  <c r="U57" i="31"/>
  <c r="U58" i="31" s="1"/>
  <c r="U62" i="31" s="1"/>
  <c r="U20" i="31"/>
  <c r="U33" i="31" s="1"/>
  <c r="U35" i="31" s="1"/>
  <c r="U37" i="26"/>
  <c r="U33" i="26"/>
  <c r="U35" i="26" s="1"/>
  <c r="U38" i="26" s="1"/>
  <c r="T41" i="25"/>
  <c r="T45" i="25" s="1"/>
  <c r="H39" i="25"/>
  <c r="T49" i="26"/>
  <c r="T20" i="16" s="1"/>
  <c r="K10" i="47" s="1"/>
  <c r="H39" i="26"/>
  <c r="T42" i="27"/>
  <c r="H39" i="27"/>
  <c r="H45" i="30"/>
  <c r="H41" i="30"/>
  <c r="J23" i="47"/>
  <c r="S54" i="29"/>
  <c r="H45" i="31"/>
  <c r="H41" i="31"/>
  <c r="T46" i="31"/>
  <c r="T47" i="31" s="1"/>
  <c r="T50" i="31" s="1"/>
  <c r="H43" i="31"/>
  <c r="H46" i="31" s="1"/>
  <c r="S84" i="8"/>
  <c r="T85" i="8" s="1"/>
  <c r="T64" i="8" s="1"/>
  <c r="J25" i="47"/>
  <c r="S54" i="17"/>
  <c r="H41" i="29"/>
  <c r="H45" i="29"/>
  <c r="T46" i="29"/>
  <c r="T47" i="29" s="1"/>
  <c r="T50" i="29" s="1"/>
  <c r="H43" i="29"/>
  <c r="H46" i="29" s="1"/>
  <c r="H45" i="17"/>
  <c r="H41" i="17"/>
  <c r="T26" i="31"/>
  <c r="T30" i="31" s="1"/>
  <c r="T26" i="30"/>
  <c r="T30" i="30" s="1"/>
  <c r="K26" i="47" s="1"/>
  <c r="T26" i="17"/>
  <c r="T30" i="17" s="1"/>
  <c r="K24" i="47" s="1"/>
  <c r="T51" i="8"/>
  <c r="T26" i="29"/>
  <c r="T46" i="30"/>
  <c r="T47" i="30" s="1"/>
  <c r="T50" i="30" s="1"/>
  <c r="H43" i="30"/>
  <c r="H46" i="30" s="1"/>
  <c r="T46" i="17"/>
  <c r="T47" i="17" s="1"/>
  <c r="T50" i="17" s="1"/>
  <c r="H43" i="17"/>
  <c r="H46" i="17" s="1"/>
  <c r="J27" i="47"/>
  <c r="S54" i="30"/>
  <c r="T2" i="16"/>
  <c r="T2" i="31"/>
  <c r="T2" i="26"/>
  <c r="T2" i="27"/>
  <c r="T2" i="25"/>
  <c r="T104" i="8"/>
  <c r="T106" i="8" s="1"/>
  <c r="T2" i="30"/>
  <c r="T2" i="17"/>
  <c r="T2" i="32"/>
  <c r="T32" i="8"/>
  <c r="T2" i="8"/>
  <c r="T2" i="29"/>
  <c r="T24" i="8"/>
  <c r="T26" i="8" s="1"/>
  <c r="T48" i="8"/>
  <c r="T49" i="8" s="1"/>
  <c r="T38" i="8"/>
  <c r="T39" i="8" s="1"/>
  <c r="T2" i="48"/>
  <c r="T2" i="43"/>
  <c r="T2" i="44"/>
  <c r="T2" i="19"/>
  <c r="J29" i="47"/>
  <c r="S54" i="31"/>
  <c r="T55" i="31" s="1"/>
  <c r="T60" i="31" s="1"/>
  <c r="T53" i="16" l="1"/>
  <c r="K20" i="47" s="1"/>
  <c r="T52" i="16"/>
  <c r="K19" i="47" s="1"/>
  <c r="T49" i="16"/>
  <c r="K16" i="47" s="1"/>
  <c r="T48" i="16"/>
  <c r="K15" i="47" s="1"/>
  <c r="T54" i="16"/>
  <c r="K21" i="47" s="1"/>
  <c r="T47" i="16"/>
  <c r="K14" i="47" s="1"/>
  <c r="T51" i="16"/>
  <c r="K18" i="47" s="1"/>
  <c r="T46" i="16"/>
  <c r="K13" i="47" s="1"/>
  <c r="T50" i="16"/>
  <c r="K17" i="47" s="1"/>
  <c r="U62" i="53"/>
  <c r="T49" i="53"/>
  <c r="T51" i="53" s="1"/>
  <c r="K30" i="47"/>
  <c r="U45" i="53"/>
  <c r="U41" i="53"/>
  <c r="U43" i="53" s="1"/>
  <c r="U46" i="53" s="1"/>
  <c r="T16" i="53"/>
  <c r="T17" i="53" s="1"/>
  <c r="V18" i="53" s="1"/>
  <c r="T4" i="53"/>
  <c r="H47" i="53"/>
  <c r="H50" i="53" s="1"/>
  <c r="H42" i="26"/>
  <c r="T44" i="27"/>
  <c r="T52" i="27" s="1"/>
  <c r="H41" i="25"/>
  <c r="H45" i="25" s="1"/>
  <c r="T46" i="25"/>
  <c r="T52" i="25" s="1"/>
  <c r="T47" i="25"/>
  <c r="T53" i="25" s="1"/>
  <c r="T30" i="29"/>
  <c r="K22" i="47" s="1"/>
  <c r="S79" i="8"/>
  <c r="T49" i="31"/>
  <c r="T51" i="31" s="1"/>
  <c r="K29" i="47" s="1"/>
  <c r="K28" i="47"/>
  <c r="U62" i="17"/>
  <c r="U39" i="25"/>
  <c r="U22" i="8"/>
  <c r="T66" i="8"/>
  <c r="T77" i="8" s="1"/>
  <c r="S58" i="8"/>
  <c r="T62" i="8"/>
  <c r="U39" i="27"/>
  <c r="U42" i="27" s="1"/>
  <c r="U44" i="27" s="1"/>
  <c r="U52" i="27" s="1"/>
  <c r="U39" i="26"/>
  <c r="U45" i="31"/>
  <c r="U41" i="31"/>
  <c r="U43" i="31" s="1"/>
  <c r="U46" i="31" s="1"/>
  <c r="U45" i="29"/>
  <c r="U41" i="29"/>
  <c r="U43" i="29" s="1"/>
  <c r="U46" i="29" s="1"/>
  <c r="U45" i="17"/>
  <c r="U41" i="17"/>
  <c r="U43" i="17" s="1"/>
  <c r="U46" i="17" s="1"/>
  <c r="U41" i="30"/>
  <c r="U43" i="30" s="1"/>
  <c r="U46" i="30" s="1"/>
  <c r="U45" i="30"/>
  <c r="T53" i="8"/>
  <c r="T84" i="8"/>
  <c r="U85" i="8" s="1"/>
  <c r="T52" i="8"/>
  <c r="H47" i="17"/>
  <c r="H50" i="17" s="1"/>
  <c r="T87" i="8"/>
  <c r="T88" i="8" s="1"/>
  <c r="H47" i="30"/>
  <c r="H50" i="30" s="1"/>
  <c r="S55" i="30"/>
  <c r="S60" i="30" s="1"/>
  <c r="S63" i="30" s="1"/>
  <c r="S65" i="30" s="1"/>
  <c r="S66" i="30" s="1"/>
  <c r="S67" i="30" s="1"/>
  <c r="S12" i="16" s="1"/>
  <c r="J6" i="47" s="1"/>
  <c r="T49" i="17"/>
  <c r="T51" i="17" s="1"/>
  <c r="K25" i="47" s="1"/>
  <c r="H30" i="17"/>
  <c r="H49" i="17" s="1"/>
  <c r="H47" i="29"/>
  <c r="H50" i="29" s="1"/>
  <c r="T31" i="16"/>
  <c r="T32" i="16" s="1"/>
  <c r="U33" i="16" s="1"/>
  <c r="T4" i="16"/>
  <c r="T16" i="31"/>
  <c r="T17" i="31" s="1"/>
  <c r="V18" i="31" s="1"/>
  <c r="T4" i="31"/>
  <c r="T16" i="26"/>
  <c r="T17" i="26" s="1"/>
  <c r="V18" i="26" s="1"/>
  <c r="V20" i="26" s="1"/>
  <c r="V25" i="26" s="1"/>
  <c r="V27" i="26" s="1"/>
  <c r="T16" i="25"/>
  <c r="T17" i="25" s="1"/>
  <c r="V18" i="25" s="1"/>
  <c r="V20" i="25" s="1"/>
  <c r="V25" i="25" s="1"/>
  <c r="V27" i="25" s="1"/>
  <c r="T4" i="25"/>
  <c r="T4" i="26"/>
  <c r="T16" i="27"/>
  <c r="T17" i="27" s="1"/>
  <c r="V18" i="27" s="1"/>
  <c r="V20" i="27" s="1"/>
  <c r="V25" i="27" s="1"/>
  <c r="V27" i="27" s="1"/>
  <c r="T4" i="27"/>
  <c r="T16" i="17"/>
  <c r="T17" i="17" s="1"/>
  <c r="V18" i="17" s="1"/>
  <c r="T4" i="17"/>
  <c r="T16" i="30"/>
  <c r="T17" i="30" s="1"/>
  <c r="V18" i="30" s="1"/>
  <c r="T4" i="30"/>
  <c r="T4" i="32"/>
  <c r="T16" i="29"/>
  <c r="T17" i="29" s="1"/>
  <c r="V18" i="29" s="1"/>
  <c r="T4" i="8"/>
  <c r="T4" i="29"/>
  <c r="T4" i="19"/>
  <c r="T4" i="44"/>
  <c r="T4" i="48"/>
  <c r="T4" i="43"/>
  <c r="T49" i="30"/>
  <c r="T51" i="30" s="1"/>
  <c r="K27" i="47" s="1"/>
  <c r="H30" i="30"/>
  <c r="H49" i="30" s="1"/>
  <c r="H47" i="31"/>
  <c r="H50" i="31" s="1"/>
  <c r="S55" i="17"/>
  <c r="S60" i="17" s="1"/>
  <c r="S63" i="17" s="1"/>
  <c r="S65" i="17" s="1"/>
  <c r="S66" i="17" s="1"/>
  <c r="S67" i="17" s="1"/>
  <c r="S11" i="16" s="1"/>
  <c r="J5" i="47" s="1"/>
  <c r="S55" i="29"/>
  <c r="S60" i="29" s="1"/>
  <c r="S63" i="29" s="1"/>
  <c r="S65" i="29" s="1"/>
  <c r="S67" i="29" s="1"/>
  <c r="S10" i="16" s="1"/>
  <c r="J4" i="47" s="1"/>
  <c r="T33" i="8"/>
  <c r="T34" i="8"/>
  <c r="U2" i="53" l="1"/>
  <c r="S3" i="53"/>
  <c r="L20" i="47"/>
  <c r="U53" i="16"/>
  <c r="T54" i="53"/>
  <c r="K31" i="47"/>
  <c r="H51" i="53"/>
  <c r="H54" i="53" s="1"/>
  <c r="V20" i="53"/>
  <c r="V33" i="53" s="1"/>
  <c r="V35" i="53" s="1"/>
  <c r="V57" i="53"/>
  <c r="V58" i="53" s="1"/>
  <c r="U47" i="53"/>
  <c r="U50" i="53" s="1"/>
  <c r="S3" i="16"/>
  <c r="U2" i="19"/>
  <c r="T54" i="25"/>
  <c r="T60" i="25" s="1"/>
  <c r="T62" i="25" s="1"/>
  <c r="T23" i="16" s="1"/>
  <c r="K11" i="47" s="1"/>
  <c r="T55" i="25"/>
  <c r="T61" i="25" s="1"/>
  <c r="T63" i="25" s="1"/>
  <c r="T24" i="16" s="1"/>
  <c r="K12" i="47" s="1"/>
  <c r="U42" i="26"/>
  <c r="U44" i="26" s="1"/>
  <c r="U48" i="26" s="1"/>
  <c r="U49" i="26" s="1"/>
  <c r="U20" i="16" s="1"/>
  <c r="L10" i="47" s="1"/>
  <c r="T53" i="27"/>
  <c r="T56" i="27" s="1"/>
  <c r="T57" i="27" s="1"/>
  <c r="T17" i="16" s="1"/>
  <c r="K9" i="47" s="1"/>
  <c r="U53" i="27"/>
  <c r="U56" i="27" s="1"/>
  <c r="U57" i="27" s="1"/>
  <c r="U17" i="16" s="1"/>
  <c r="L9" i="47" s="1"/>
  <c r="U41" i="25"/>
  <c r="U45" i="25" s="1"/>
  <c r="H30" i="29"/>
  <c r="H49" i="29" s="1"/>
  <c r="T49" i="29"/>
  <c r="T51" i="29" s="1"/>
  <c r="K23" i="47" s="1"/>
  <c r="S3" i="25"/>
  <c r="S3" i="27"/>
  <c r="S3" i="30"/>
  <c r="S3" i="19"/>
  <c r="S3" i="31"/>
  <c r="S3" i="26"/>
  <c r="S3" i="43"/>
  <c r="S3" i="32"/>
  <c r="S3" i="17"/>
  <c r="S3" i="29"/>
  <c r="S3" i="8"/>
  <c r="S3" i="44"/>
  <c r="S3" i="48"/>
  <c r="U2" i="32"/>
  <c r="U2" i="26"/>
  <c r="U2" i="16"/>
  <c r="U32" i="8"/>
  <c r="U34" i="8" s="1"/>
  <c r="U72" i="8" s="1"/>
  <c r="U61" i="8"/>
  <c r="U62" i="8" s="1"/>
  <c r="U65" i="8" s="1"/>
  <c r="L13" i="47"/>
  <c r="L21" i="47"/>
  <c r="L19" i="47"/>
  <c r="L18" i="47"/>
  <c r="L17" i="47"/>
  <c r="L16" i="47"/>
  <c r="L15" i="47"/>
  <c r="L14" i="47"/>
  <c r="U2" i="44"/>
  <c r="U2" i="43"/>
  <c r="U2" i="48"/>
  <c r="U2" i="17"/>
  <c r="U2" i="30"/>
  <c r="U2" i="8"/>
  <c r="V21" i="8"/>
  <c r="V22" i="8" s="1"/>
  <c r="U2" i="25"/>
  <c r="T56" i="8"/>
  <c r="T72" i="8"/>
  <c r="U104" i="8"/>
  <c r="U106" i="8" s="1"/>
  <c r="T57" i="8"/>
  <c r="T73" i="8"/>
  <c r="U2" i="27"/>
  <c r="U24" i="8"/>
  <c r="U26" i="8" s="1"/>
  <c r="U2" i="31"/>
  <c r="U38" i="8"/>
  <c r="U39" i="8" s="1"/>
  <c r="U48" i="8"/>
  <c r="U49" i="8" s="1"/>
  <c r="U84" i="8" s="1"/>
  <c r="V85" i="8" s="1"/>
  <c r="V64" i="8" s="1"/>
  <c r="U2" i="29"/>
  <c r="U87" i="8"/>
  <c r="U88" i="8" s="1"/>
  <c r="U64" i="8"/>
  <c r="T65" i="8"/>
  <c r="T69" i="8"/>
  <c r="U47" i="17"/>
  <c r="U50" i="17" s="1"/>
  <c r="V37" i="25"/>
  <c r="V33" i="25"/>
  <c r="V35" i="25" s="1"/>
  <c r="V38" i="25" s="1"/>
  <c r="V37" i="26"/>
  <c r="V33" i="26"/>
  <c r="V35" i="26" s="1"/>
  <c r="V38" i="26" s="1"/>
  <c r="V37" i="27"/>
  <c r="V33" i="27"/>
  <c r="V35" i="27" s="1"/>
  <c r="V38" i="27" s="1"/>
  <c r="V57" i="31"/>
  <c r="V58" i="31" s="1"/>
  <c r="V62" i="31" s="1"/>
  <c r="V20" i="31"/>
  <c r="V33" i="31" s="1"/>
  <c r="V35" i="31" s="1"/>
  <c r="U47" i="16"/>
  <c r="U49" i="16"/>
  <c r="U48" i="16"/>
  <c r="U46" i="16"/>
  <c r="U50" i="16"/>
  <c r="U54" i="16"/>
  <c r="U52" i="16"/>
  <c r="U51" i="16"/>
  <c r="V20" i="29"/>
  <c r="V33" i="29" s="1"/>
  <c r="V35" i="29" s="1"/>
  <c r="V57" i="29"/>
  <c r="V58" i="29" s="1"/>
  <c r="V57" i="30"/>
  <c r="V58" i="30" s="1"/>
  <c r="V20" i="30"/>
  <c r="V33" i="30" s="1"/>
  <c r="V35" i="30" s="1"/>
  <c r="U47" i="29"/>
  <c r="U50" i="29" s="1"/>
  <c r="U47" i="30"/>
  <c r="U50" i="30" s="1"/>
  <c r="V20" i="17"/>
  <c r="V33" i="17" s="1"/>
  <c r="V35" i="17" s="1"/>
  <c r="V57" i="17"/>
  <c r="V58" i="17" s="1"/>
  <c r="U47" i="31"/>
  <c r="U50" i="31" s="1"/>
  <c r="T54" i="31"/>
  <c r="H51" i="31"/>
  <c r="H54" i="31" s="1"/>
  <c r="T44" i="8"/>
  <c r="U45" i="8" s="1"/>
  <c r="T54" i="30"/>
  <c r="T55" i="30" s="1"/>
  <c r="T60" i="30" s="1"/>
  <c r="T63" i="30" s="1"/>
  <c r="T65" i="30" s="1"/>
  <c r="T66" i="30" s="1"/>
  <c r="T67" i="30" s="1"/>
  <c r="T12" i="16" s="1"/>
  <c r="K6" i="47" s="1"/>
  <c r="H51" i="30"/>
  <c r="H54" i="30" s="1"/>
  <c r="T54" i="17"/>
  <c r="T55" i="17" s="1"/>
  <c r="T60" i="17" s="1"/>
  <c r="T63" i="17" s="1"/>
  <c r="T65" i="17" s="1"/>
  <c r="T66" i="17" s="1"/>
  <c r="T67" i="17" s="1"/>
  <c r="T11" i="16" s="1"/>
  <c r="K5" i="47" s="1"/>
  <c r="H51" i="17"/>
  <c r="H54" i="17" s="1"/>
  <c r="V62" i="53" l="1"/>
  <c r="V2" i="53"/>
  <c r="U68" i="8"/>
  <c r="U26" i="53"/>
  <c r="U30" i="53" s="1"/>
  <c r="U16" i="53"/>
  <c r="U17" i="53" s="1"/>
  <c r="W18" i="53" s="1"/>
  <c r="U4" i="53"/>
  <c r="V45" i="53"/>
  <c r="V41" i="53"/>
  <c r="V43" i="53" s="1"/>
  <c r="V46" i="53" s="1"/>
  <c r="W21" i="8"/>
  <c r="W25" i="8" s="1"/>
  <c r="U16" i="30"/>
  <c r="U17" i="30" s="1"/>
  <c r="W18" i="30" s="1"/>
  <c r="W57" i="30" s="1"/>
  <c r="W58" i="30" s="1"/>
  <c r="U33" i="8"/>
  <c r="U44" i="8" s="1"/>
  <c r="V45" i="8" s="1"/>
  <c r="U69" i="8"/>
  <c r="U46" i="25"/>
  <c r="U52" i="25" s="1"/>
  <c r="U54" i="25" s="1"/>
  <c r="U47" i="25"/>
  <c r="U53" i="25" s="1"/>
  <c r="H51" i="29"/>
  <c r="H54" i="29" s="1"/>
  <c r="T54" i="29"/>
  <c r="T55" i="29" s="1"/>
  <c r="T60" i="29" s="1"/>
  <c r="T63" i="29" s="1"/>
  <c r="T65" i="29" s="1"/>
  <c r="T67" i="29" s="1"/>
  <c r="T10" i="16" s="1"/>
  <c r="K4" i="47" s="1"/>
  <c r="V25" i="8"/>
  <c r="V62" i="30"/>
  <c r="V62" i="29"/>
  <c r="V62" i="17"/>
  <c r="V61" i="8"/>
  <c r="V62" i="8" s="1"/>
  <c r="V65" i="8" s="1"/>
  <c r="U16" i="29"/>
  <c r="U17" i="29" s="1"/>
  <c r="W18" i="29" s="1"/>
  <c r="U4" i="43"/>
  <c r="U4" i="26"/>
  <c r="U4" i="30"/>
  <c r="U4" i="48"/>
  <c r="U4" i="16"/>
  <c r="U4" i="25"/>
  <c r="T58" i="8"/>
  <c r="U4" i="8"/>
  <c r="U16" i="17"/>
  <c r="U17" i="17" s="1"/>
  <c r="W18" i="17" s="1"/>
  <c r="U4" i="31"/>
  <c r="U16" i="25"/>
  <c r="U17" i="25" s="1"/>
  <c r="W18" i="25" s="1"/>
  <c r="W20" i="25" s="1"/>
  <c r="W25" i="25" s="1"/>
  <c r="W27" i="25" s="1"/>
  <c r="U16" i="31"/>
  <c r="U17" i="31" s="1"/>
  <c r="W18" i="31" s="1"/>
  <c r="U52" i="8"/>
  <c r="U4" i="44"/>
  <c r="U4" i="32"/>
  <c r="U31" i="16"/>
  <c r="U32" i="16" s="1"/>
  <c r="V33" i="16" s="1"/>
  <c r="U4" i="29"/>
  <c r="U16" i="26"/>
  <c r="U17" i="26" s="1"/>
  <c r="W18" i="26" s="1"/>
  <c r="W20" i="26" s="1"/>
  <c r="W25" i="26" s="1"/>
  <c r="W27" i="26" s="1"/>
  <c r="U4" i="19"/>
  <c r="U4" i="17"/>
  <c r="U4" i="27"/>
  <c r="T74" i="8"/>
  <c r="T78" i="8" s="1"/>
  <c r="T79" i="8" s="1"/>
  <c r="U16" i="27"/>
  <c r="U17" i="27" s="1"/>
  <c r="W18" i="27" s="1"/>
  <c r="W20" i="27" s="1"/>
  <c r="W25" i="27" s="1"/>
  <c r="W27" i="27" s="1"/>
  <c r="U70" i="8"/>
  <c r="U66" i="8"/>
  <c r="U77" i="8" s="1"/>
  <c r="U56" i="8"/>
  <c r="V39" i="27"/>
  <c r="V42" i="27" s="1"/>
  <c r="V44" i="27" s="1"/>
  <c r="V52" i="27" s="1"/>
  <c r="V24" i="8"/>
  <c r="V2" i="27"/>
  <c r="V2" i="44"/>
  <c r="V2" i="30"/>
  <c r="V104" i="8"/>
  <c r="V106" i="8" s="1"/>
  <c r="V48" i="8"/>
  <c r="V49" i="8" s="1"/>
  <c r="V2" i="16"/>
  <c r="V2" i="32"/>
  <c r="V2" i="8"/>
  <c r="V38" i="8"/>
  <c r="V39" i="8" s="1"/>
  <c r="V2" i="25"/>
  <c r="V2" i="17"/>
  <c r="V2" i="43"/>
  <c r="V2" i="26"/>
  <c r="V32" i="8"/>
  <c r="V2" i="48"/>
  <c r="V2" i="19"/>
  <c r="V2" i="29"/>
  <c r="V2" i="31"/>
  <c r="V87" i="8"/>
  <c r="V88" i="8" s="1"/>
  <c r="U26" i="31"/>
  <c r="U30" i="31" s="1"/>
  <c r="U26" i="17"/>
  <c r="U30" i="17" s="1"/>
  <c r="U26" i="29"/>
  <c r="U30" i="29" s="1"/>
  <c r="U51" i="8"/>
  <c r="U53" i="8" s="1"/>
  <c r="U26" i="30"/>
  <c r="U30" i="30" s="1"/>
  <c r="V41" i="29"/>
  <c r="V43" i="29" s="1"/>
  <c r="V46" i="29" s="1"/>
  <c r="V45" i="29"/>
  <c r="V45" i="30"/>
  <c r="V41" i="30"/>
  <c r="V43" i="30" s="1"/>
  <c r="V46" i="30" s="1"/>
  <c r="V41" i="31"/>
  <c r="V43" i="31" s="1"/>
  <c r="V46" i="31" s="1"/>
  <c r="V45" i="31"/>
  <c r="V39" i="26"/>
  <c r="V41" i="17"/>
  <c r="V43" i="17" s="1"/>
  <c r="V46" i="17" s="1"/>
  <c r="V45" i="17"/>
  <c r="V39" i="25"/>
  <c r="T3" i="53" l="1"/>
  <c r="M20" i="47"/>
  <c r="V53" i="16"/>
  <c r="U49" i="53"/>
  <c r="U51" i="53" s="1"/>
  <c r="U54" i="53" s="1"/>
  <c r="U55" i="53" s="1"/>
  <c r="U60" i="53" s="1"/>
  <c r="U63" i="53" s="1"/>
  <c r="U65" i="53" s="1"/>
  <c r="U66" i="53" s="1"/>
  <c r="U67" i="53" s="1"/>
  <c r="U14" i="16" s="1"/>
  <c r="L8" i="47" s="1"/>
  <c r="L30" i="47"/>
  <c r="V68" i="8"/>
  <c r="V70" i="8" s="1"/>
  <c r="V26" i="53"/>
  <c r="V30" i="53" s="1"/>
  <c r="V47" i="53"/>
  <c r="V50" i="53" s="1"/>
  <c r="V4" i="53"/>
  <c r="V16" i="53"/>
  <c r="V17" i="53" s="1"/>
  <c r="X18" i="53" s="1"/>
  <c r="W57" i="53"/>
  <c r="W58" i="53" s="1"/>
  <c r="W20" i="53"/>
  <c r="W33" i="53" s="1"/>
  <c r="W35" i="53" s="1"/>
  <c r="W22" i="8"/>
  <c r="W20" i="30"/>
  <c r="W33" i="30" s="1"/>
  <c r="W35" i="30" s="1"/>
  <c r="W45" i="30" s="1"/>
  <c r="T3" i="26"/>
  <c r="V51" i="8"/>
  <c r="V53" i="8" s="1"/>
  <c r="U55" i="25"/>
  <c r="U61" i="25" s="1"/>
  <c r="U63" i="25" s="1"/>
  <c r="U24" i="16" s="1"/>
  <c r="L12" i="47" s="1"/>
  <c r="U60" i="25"/>
  <c r="U62" i="25" s="1"/>
  <c r="U23" i="16" s="1"/>
  <c r="L11" i="47" s="1"/>
  <c r="V42" i="26"/>
  <c r="V44" i="26" s="1"/>
  <c r="V48" i="26" s="1"/>
  <c r="V49" i="26" s="1"/>
  <c r="V20" i="16" s="1"/>
  <c r="M10" i="47" s="1"/>
  <c r="V53" i="27"/>
  <c r="V56" i="27" s="1"/>
  <c r="V57" i="27" s="1"/>
  <c r="V17" i="16" s="1"/>
  <c r="M9" i="47" s="1"/>
  <c r="V26" i="31"/>
  <c r="V30" i="31" s="1"/>
  <c r="M28" i="47" s="1"/>
  <c r="V26" i="29"/>
  <c r="V30" i="29" s="1"/>
  <c r="M22" i="47" s="1"/>
  <c r="V26" i="30"/>
  <c r="V30" i="30" s="1"/>
  <c r="M26" i="47" s="1"/>
  <c r="V26" i="17"/>
  <c r="V30" i="17" s="1"/>
  <c r="M24" i="47" s="1"/>
  <c r="V41" i="25"/>
  <c r="V45" i="25" s="1"/>
  <c r="V46" i="25" s="1"/>
  <c r="V52" i="25" s="1"/>
  <c r="V26" i="8"/>
  <c r="V47" i="16"/>
  <c r="M21" i="47"/>
  <c r="M16" i="47"/>
  <c r="M19" i="47"/>
  <c r="M15" i="47"/>
  <c r="M18" i="47"/>
  <c r="M17" i="47"/>
  <c r="M13" i="47"/>
  <c r="M14" i="47"/>
  <c r="V69" i="8"/>
  <c r="W62" i="30"/>
  <c r="W33" i="26"/>
  <c r="W35" i="26" s="1"/>
  <c r="W38" i="26" s="1"/>
  <c r="W37" i="26"/>
  <c r="W20" i="29"/>
  <c r="W33" i="29" s="1"/>
  <c r="W35" i="29" s="1"/>
  <c r="W57" i="29"/>
  <c r="W58" i="29" s="1"/>
  <c r="W62" i="29" s="1"/>
  <c r="W20" i="31"/>
  <c r="W33" i="31" s="1"/>
  <c r="W35" i="31" s="1"/>
  <c r="W57" i="31"/>
  <c r="W58" i="31" s="1"/>
  <c r="W62" i="31" s="1"/>
  <c r="W33" i="27"/>
  <c r="W35" i="27" s="1"/>
  <c r="W38" i="27" s="1"/>
  <c r="W37" i="27"/>
  <c r="W33" i="25"/>
  <c r="W35" i="25" s="1"/>
  <c r="W38" i="25" s="1"/>
  <c r="W37" i="25"/>
  <c r="W20" i="17"/>
  <c r="W33" i="17" s="1"/>
  <c r="W35" i="17" s="1"/>
  <c r="W57" i="17"/>
  <c r="W58" i="17" s="1"/>
  <c r="W62" i="17" s="1"/>
  <c r="U49" i="17"/>
  <c r="U51" i="17" s="1"/>
  <c r="U54" i="17" s="1"/>
  <c r="U55" i="17" s="1"/>
  <c r="U60" i="17" s="1"/>
  <c r="U63" i="17" s="1"/>
  <c r="U65" i="17" s="1"/>
  <c r="L24" i="47"/>
  <c r="U49" i="31"/>
  <c r="U51" i="31" s="1"/>
  <c r="L29" i="47" s="1"/>
  <c r="L28" i="47"/>
  <c r="U49" i="29"/>
  <c r="U51" i="29" s="1"/>
  <c r="U54" i="29" s="1"/>
  <c r="U55" i="29" s="1"/>
  <c r="U60" i="29" s="1"/>
  <c r="U63" i="29" s="1"/>
  <c r="U65" i="29" s="1"/>
  <c r="U66" i="29" s="1"/>
  <c r="U67" i="29" s="1"/>
  <c r="U10" i="16" s="1"/>
  <c r="L4" i="47" s="1"/>
  <c r="L22" i="47"/>
  <c r="U49" i="30"/>
  <c r="U51" i="30" s="1"/>
  <c r="U54" i="30" s="1"/>
  <c r="U55" i="30" s="1"/>
  <c r="U60" i="30" s="1"/>
  <c r="U63" i="30" s="1"/>
  <c r="U65" i="30" s="1"/>
  <c r="U66" i="30" s="1"/>
  <c r="U67" i="30" s="1"/>
  <c r="U12" i="16" s="1"/>
  <c r="L6" i="47" s="1"/>
  <c r="L26" i="47"/>
  <c r="V49" i="16"/>
  <c r="V51" i="16"/>
  <c r="V48" i="16"/>
  <c r="V54" i="16"/>
  <c r="V52" i="16"/>
  <c r="V46" i="16"/>
  <c r="V50" i="16"/>
  <c r="U57" i="8"/>
  <c r="U58" i="8" s="1"/>
  <c r="U73" i="8"/>
  <c r="U74" i="8" s="1"/>
  <c r="U78" i="8" s="1"/>
  <c r="U79" i="8" s="1"/>
  <c r="V66" i="8"/>
  <c r="V77" i="8" s="1"/>
  <c r="V47" i="17"/>
  <c r="V50" i="17" s="1"/>
  <c r="V47" i="29"/>
  <c r="V50" i="29" s="1"/>
  <c r="T3" i="8"/>
  <c r="T3" i="43"/>
  <c r="T3" i="48"/>
  <c r="T3" i="44"/>
  <c r="T3" i="32"/>
  <c r="T3" i="27"/>
  <c r="T3" i="25"/>
  <c r="T3" i="31"/>
  <c r="T3" i="16"/>
  <c r="V4" i="8"/>
  <c r="V4" i="17"/>
  <c r="V4" i="43"/>
  <c r="V4" i="48"/>
  <c r="V16" i="29"/>
  <c r="V17" i="29" s="1"/>
  <c r="X18" i="29" s="1"/>
  <c r="V4" i="31"/>
  <c r="V4" i="30"/>
  <c r="V4" i="16"/>
  <c r="V16" i="25"/>
  <c r="V17" i="25" s="1"/>
  <c r="X18" i="25" s="1"/>
  <c r="X20" i="25" s="1"/>
  <c r="X25" i="25" s="1"/>
  <c r="X27" i="25" s="1"/>
  <c r="V4" i="32"/>
  <c r="V4" i="27"/>
  <c r="V4" i="44"/>
  <c r="V16" i="30"/>
  <c r="V17" i="30" s="1"/>
  <c r="X18" i="30" s="1"/>
  <c r="V16" i="27"/>
  <c r="V17" i="27" s="1"/>
  <c r="X18" i="27" s="1"/>
  <c r="X20" i="27" s="1"/>
  <c r="X25" i="27" s="1"/>
  <c r="X27" i="27" s="1"/>
  <c r="V16" i="31"/>
  <c r="V17" i="31" s="1"/>
  <c r="X18" i="31" s="1"/>
  <c r="V31" i="16"/>
  <c r="V32" i="16" s="1"/>
  <c r="W33" i="16" s="1"/>
  <c r="V4" i="25"/>
  <c r="V16" i="26"/>
  <c r="V17" i="26" s="1"/>
  <c r="X18" i="26" s="1"/>
  <c r="X20" i="26" s="1"/>
  <c r="X25" i="26" s="1"/>
  <c r="X27" i="26" s="1"/>
  <c r="V16" i="17"/>
  <c r="V17" i="17" s="1"/>
  <c r="X18" i="17" s="1"/>
  <c r="V4" i="26"/>
  <c r="V4" i="29"/>
  <c r="V4" i="19"/>
  <c r="V52" i="8"/>
  <c r="V84" i="8"/>
  <c r="W85" i="8" s="1"/>
  <c r="T3" i="19"/>
  <c r="V34" i="8"/>
  <c r="V33" i="8"/>
  <c r="T3" i="17"/>
  <c r="T3" i="30"/>
  <c r="T3" i="29"/>
  <c r="V47" i="30"/>
  <c r="V50" i="30" s="1"/>
  <c r="V47" i="31"/>
  <c r="V50" i="31" s="1"/>
  <c r="W62" i="53" l="1"/>
  <c r="U3" i="53"/>
  <c r="W2" i="27"/>
  <c r="N20" i="47"/>
  <c r="W53" i="16"/>
  <c r="L31" i="47"/>
  <c r="V49" i="53"/>
  <c r="V51" i="53" s="1"/>
  <c r="M30" i="47"/>
  <c r="W2" i="31"/>
  <c r="W2" i="53"/>
  <c r="W45" i="53"/>
  <c r="W41" i="53"/>
  <c r="W43" i="53" s="1"/>
  <c r="W46" i="53" s="1"/>
  <c r="X20" i="53"/>
  <c r="X33" i="53" s="1"/>
  <c r="X35" i="53" s="1"/>
  <c r="X57" i="53"/>
  <c r="X58" i="53" s="1"/>
  <c r="X62" i="53" s="1"/>
  <c r="W2" i="29"/>
  <c r="W2" i="32"/>
  <c r="W2" i="30"/>
  <c r="W2" i="26"/>
  <c r="W2" i="16"/>
  <c r="X21" i="8"/>
  <c r="X25" i="8" s="1"/>
  <c r="W38" i="8"/>
  <c r="W39" i="8" s="1"/>
  <c r="W24" i="8"/>
  <c r="W26" i="8" s="1"/>
  <c r="W2" i="44"/>
  <c r="W2" i="8"/>
  <c r="W2" i="48"/>
  <c r="W61" i="8"/>
  <c r="W62" i="8" s="1"/>
  <c r="W65" i="8" s="1"/>
  <c r="W104" i="8"/>
  <c r="W106" i="8" s="1"/>
  <c r="W4" i="32" s="1"/>
  <c r="W2" i="43"/>
  <c r="W2" i="19"/>
  <c r="W2" i="17"/>
  <c r="W48" i="8"/>
  <c r="W49" i="8" s="1"/>
  <c r="W52" i="8" s="1"/>
  <c r="W2" i="25"/>
  <c r="W32" i="8"/>
  <c r="W34" i="8" s="1"/>
  <c r="W41" i="30"/>
  <c r="W43" i="30" s="1"/>
  <c r="W46" i="30" s="1"/>
  <c r="W47" i="30" s="1"/>
  <c r="W50" i="30" s="1"/>
  <c r="V54" i="25"/>
  <c r="V60" i="25" s="1"/>
  <c r="V62" i="25" s="1"/>
  <c r="V23" i="16" s="1"/>
  <c r="M11" i="47" s="1"/>
  <c r="V47" i="25"/>
  <c r="V53" i="25" s="1"/>
  <c r="N17" i="47"/>
  <c r="N13" i="47"/>
  <c r="N21" i="47"/>
  <c r="N16" i="47"/>
  <c r="N19" i="47"/>
  <c r="N15" i="47"/>
  <c r="N18" i="47"/>
  <c r="N14" i="47"/>
  <c r="U66" i="17"/>
  <c r="U67" i="17" s="1"/>
  <c r="U11" i="16" s="1"/>
  <c r="L5" i="47" s="1"/>
  <c r="W39" i="26"/>
  <c r="W39" i="27"/>
  <c r="W42" i="27" s="1"/>
  <c r="W44" i="27" s="1"/>
  <c r="W52" i="27" s="1"/>
  <c r="X20" i="17"/>
  <c r="X33" i="17" s="1"/>
  <c r="X35" i="17" s="1"/>
  <c r="X57" i="17"/>
  <c r="X58" i="17" s="1"/>
  <c r="X62" i="17" s="1"/>
  <c r="W46" i="16"/>
  <c r="W50" i="16"/>
  <c r="W49" i="16"/>
  <c r="W47" i="16"/>
  <c r="W52" i="16"/>
  <c r="W51" i="16"/>
  <c r="W48" i="16"/>
  <c r="W54" i="16"/>
  <c r="W87" i="8"/>
  <c r="W88" i="8" s="1"/>
  <c r="W64" i="8"/>
  <c r="W66" i="8" s="1"/>
  <c r="W77" i="8" s="1"/>
  <c r="X33" i="27"/>
  <c r="X35" i="27" s="1"/>
  <c r="X38" i="27" s="1"/>
  <c r="X37" i="27"/>
  <c r="X37" i="25"/>
  <c r="X33" i="25"/>
  <c r="X35" i="25" s="1"/>
  <c r="X38" i="25" s="1"/>
  <c r="W45" i="31"/>
  <c r="W41" i="31"/>
  <c r="W43" i="31" s="1"/>
  <c r="W46" i="31" s="1"/>
  <c r="X33" i="26"/>
  <c r="X35" i="26" s="1"/>
  <c r="X38" i="26" s="1"/>
  <c r="X37" i="26"/>
  <c r="X20" i="29"/>
  <c r="X33" i="29" s="1"/>
  <c r="X35" i="29" s="1"/>
  <c r="X57" i="29"/>
  <c r="X58" i="29" s="1"/>
  <c r="X62" i="29" s="1"/>
  <c r="W45" i="29"/>
  <c r="W41" i="29"/>
  <c r="W43" i="29" s="1"/>
  <c r="W46" i="29" s="1"/>
  <c r="X20" i="31"/>
  <c r="X33" i="31" s="1"/>
  <c r="X35" i="31" s="1"/>
  <c r="X57" i="31"/>
  <c r="X58" i="31" s="1"/>
  <c r="X62" i="31" s="1"/>
  <c r="X20" i="30"/>
  <c r="X33" i="30" s="1"/>
  <c r="X35" i="30" s="1"/>
  <c r="X57" i="30"/>
  <c r="X58" i="30" s="1"/>
  <c r="X62" i="30" s="1"/>
  <c r="W41" i="17"/>
  <c r="W43" i="17" s="1"/>
  <c r="W46" i="17" s="1"/>
  <c r="W45" i="17"/>
  <c r="W39" i="25"/>
  <c r="V49" i="31"/>
  <c r="V51" i="31" s="1"/>
  <c r="V49" i="17"/>
  <c r="V51" i="17" s="1"/>
  <c r="V49" i="29"/>
  <c r="V51" i="29" s="1"/>
  <c r="V49" i="30"/>
  <c r="V51" i="30" s="1"/>
  <c r="L23" i="47"/>
  <c r="L25" i="47"/>
  <c r="U54" i="31"/>
  <c r="U55" i="31" s="1"/>
  <c r="U60" i="31" s="1"/>
  <c r="U63" i="31" s="1"/>
  <c r="U65" i="31" s="1"/>
  <c r="U66" i="31" s="1"/>
  <c r="U67" i="31" s="1"/>
  <c r="U13" i="16" s="1"/>
  <c r="L7" i="47" s="1"/>
  <c r="L27" i="47"/>
  <c r="V56" i="8"/>
  <c r="V72" i="8"/>
  <c r="V73" i="8"/>
  <c r="V57" i="8"/>
  <c r="V44" i="8"/>
  <c r="W45" i="8" s="1"/>
  <c r="W26" i="53" s="1"/>
  <c r="W30" i="53" s="1"/>
  <c r="U3" i="32"/>
  <c r="U3" i="8"/>
  <c r="U3" i="29"/>
  <c r="U3" i="30"/>
  <c r="U3" i="16"/>
  <c r="U3" i="27"/>
  <c r="U3" i="48"/>
  <c r="U3" i="44"/>
  <c r="U3" i="31"/>
  <c r="U3" i="17"/>
  <c r="U3" i="19"/>
  <c r="U3" i="25"/>
  <c r="U3" i="26"/>
  <c r="U3" i="43"/>
  <c r="W4" i="8" l="1"/>
  <c r="W4" i="31"/>
  <c r="W49" i="53"/>
  <c r="N30" i="47"/>
  <c r="V54" i="53"/>
  <c r="V55" i="53" s="1"/>
  <c r="V60" i="53" s="1"/>
  <c r="V63" i="53" s="1"/>
  <c r="V65" i="53" s="1"/>
  <c r="V66" i="53" s="1"/>
  <c r="V67" i="53" s="1"/>
  <c r="V14" i="16" s="1"/>
  <c r="M8" i="47" s="1"/>
  <c r="M31" i="47"/>
  <c r="W4" i="19"/>
  <c r="W47" i="53"/>
  <c r="W50" i="53" s="1"/>
  <c r="W16" i="17"/>
  <c r="W17" i="17" s="1"/>
  <c r="X22" i="8"/>
  <c r="X2" i="29" s="1"/>
  <c r="X45" i="53"/>
  <c r="X41" i="53"/>
  <c r="X43" i="53" s="1"/>
  <c r="X46" i="53" s="1"/>
  <c r="W4" i="43"/>
  <c r="W4" i="53"/>
  <c r="W16" i="53"/>
  <c r="W17" i="53" s="1"/>
  <c r="W4" i="27"/>
  <c r="W16" i="31"/>
  <c r="W17" i="31" s="1"/>
  <c r="W4" i="29"/>
  <c r="W4" i="25"/>
  <c r="W31" i="16"/>
  <c r="W32" i="16" s="1"/>
  <c r="X33" i="16" s="1"/>
  <c r="W16" i="26"/>
  <c r="W17" i="26" s="1"/>
  <c r="W69" i="8"/>
  <c r="W16" i="29"/>
  <c r="W17" i="29" s="1"/>
  <c r="W4" i="17"/>
  <c r="W16" i="25"/>
  <c r="W17" i="25" s="1"/>
  <c r="W16" i="27"/>
  <c r="W17" i="27" s="1"/>
  <c r="W4" i="30"/>
  <c r="W4" i="26"/>
  <c r="W4" i="16"/>
  <c r="W16" i="30"/>
  <c r="W17" i="30" s="1"/>
  <c r="W4" i="44"/>
  <c r="W84" i="8"/>
  <c r="X85" i="8" s="1"/>
  <c r="H85" i="8" s="1"/>
  <c r="H87" i="8" s="1"/>
  <c r="W4" i="48"/>
  <c r="W33" i="8"/>
  <c r="W44" i="8" s="1"/>
  <c r="X45" i="8" s="1"/>
  <c r="V55" i="25"/>
  <c r="V61" i="25" s="1"/>
  <c r="V63" i="25" s="1"/>
  <c r="V24" i="16" s="1"/>
  <c r="M12" i="47" s="1"/>
  <c r="W42" i="26"/>
  <c r="W44" i="26" s="1"/>
  <c r="W48" i="26" s="1"/>
  <c r="W49" i="26" s="1"/>
  <c r="W20" i="16" s="1"/>
  <c r="N10" i="47" s="1"/>
  <c r="W53" i="27"/>
  <c r="W56" i="27" s="1"/>
  <c r="W57" i="27" s="1"/>
  <c r="W17" i="16" s="1"/>
  <c r="N9" i="47" s="1"/>
  <c r="W41" i="25"/>
  <c r="W45" i="25" s="1"/>
  <c r="V54" i="30"/>
  <c r="V55" i="30" s="1"/>
  <c r="V60" i="30" s="1"/>
  <c r="V63" i="30" s="1"/>
  <c r="V65" i="30" s="1"/>
  <c r="V66" i="30" s="1"/>
  <c r="V67" i="30" s="1"/>
  <c r="V12" i="16" s="1"/>
  <c r="M6" i="47" s="1"/>
  <c r="M27" i="47"/>
  <c r="V54" i="29"/>
  <c r="V55" i="29" s="1"/>
  <c r="V60" i="29" s="1"/>
  <c r="V63" i="29" s="1"/>
  <c r="V65" i="29" s="1"/>
  <c r="V66" i="29" s="1"/>
  <c r="V67" i="29" s="1"/>
  <c r="V10" i="16" s="1"/>
  <c r="M4" i="47" s="1"/>
  <c r="M23" i="47"/>
  <c r="V54" i="17"/>
  <c r="V55" i="17" s="1"/>
  <c r="V60" i="17" s="1"/>
  <c r="V63" i="17" s="1"/>
  <c r="V65" i="17" s="1"/>
  <c r="V66" i="17" s="1"/>
  <c r="V67" i="17" s="1"/>
  <c r="V11" i="16" s="1"/>
  <c r="M5" i="47" s="1"/>
  <c r="M25" i="47"/>
  <c r="V54" i="31"/>
  <c r="M29" i="47"/>
  <c r="X39" i="27"/>
  <c r="X42" i="27" s="1"/>
  <c r="X44" i="27" s="1"/>
  <c r="X52" i="27" s="1"/>
  <c r="W47" i="31"/>
  <c r="W50" i="31" s="1"/>
  <c r="X45" i="30"/>
  <c r="X41" i="30"/>
  <c r="X43" i="30" s="1"/>
  <c r="X46" i="30" s="1"/>
  <c r="W51" i="8"/>
  <c r="W53" i="8" s="1"/>
  <c r="W26" i="29"/>
  <c r="W30" i="29" s="1"/>
  <c r="W26" i="31"/>
  <c r="W30" i="31" s="1"/>
  <c r="W26" i="17"/>
  <c r="W30" i="17" s="1"/>
  <c r="W26" i="30"/>
  <c r="W30" i="30" s="1"/>
  <c r="W68" i="8"/>
  <c r="W70" i="8" s="1"/>
  <c r="W56" i="8"/>
  <c r="W72" i="8"/>
  <c r="X45" i="29"/>
  <c r="X41" i="29"/>
  <c r="X43" i="29" s="1"/>
  <c r="X46" i="29" s="1"/>
  <c r="W47" i="17"/>
  <c r="W50" i="17" s="1"/>
  <c r="X39" i="26"/>
  <c r="X45" i="17"/>
  <c r="X41" i="17"/>
  <c r="X43" i="17" s="1"/>
  <c r="X46" i="17" s="1"/>
  <c r="X39" i="25"/>
  <c r="X41" i="31"/>
  <c r="X43" i="31" s="1"/>
  <c r="X46" i="31" s="1"/>
  <c r="X45" i="31"/>
  <c r="W47" i="29"/>
  <c r="W50" i="29" s="1"/>
  <c r="V58" i="8"/>
  <c r="V74" i="8"/>
  <c r="V78" i="8" s="1"/>
  <c r="V79" i="8" s="1"/>
  <c r="X2" i="25" l="1"/>
  <c r="X2" i="17"/>
  <c r="X2" i="53"/>
  <c r="V3" i="53"/>
  <c r="X32" i="8"/>
  <c r="X33" i="8" s="1"/>
  <c r="X2" i="30"/>
  <c r="X2" i="27"/>
  <c r="X2" i="16"/>
  <c r="W51" i="53"/>
  <c r="W54" i="53" s="1"/>
  <c r="W55" i="53" s="1"/>
  <c r="W60" i="53" s="1"/>
  <c r="W63" i="53" s="1"/>
  <c r="W65" i="53" s="1"/>
  <c r="W66" i="53" s="1"/>
  <c r="W67" i="53" s="1"/>
  <c r="W14" i="16" s="1"/>
  <c r="N8" i="47" s="1"/>
  <c r="O17" i="47"/>
  <c r="O20" i="47"/>
  <c r="X53" i="16"/>
  <c r="X61" i="8"/>
  <c r="X62" i="8" s="1"/>
  <c r="X69" i="8" s="1"/>
  <c r="X2" i="8"/>
  <c r="X49" i="16"/>
  <c r="O19" i="47"/>
  <c r="X38" i="8"/>
  <c r="X39" i="8" s="1"/>
  <c r="H39" i="8" s="1"/>
  <c r="X2" i="31"/>
  <c r="X2" i="48"/>
  <c r="X2" i="19"/>
  <c r="X24" i="8"/>
  <c r="X26" i="8" s="1"/>
  <c r="H26" i="8" s="1"/>
  <c r="X104" i="8"/>
  <c r="X106" i="8" s="1"/>
  <c r="X16" i="29" s="1"/>
  <c r="X17" i="29" s="1"/>
  <c r="X48" i="8"/>
  <c r="X49" i="8" s="1"/>
  <c r="X84" i="8" s="1"/>
  <c r="X47" i="53"/>
  <c r="X50" i="53" s="1"/>
  <c r="X2" i="43"/>
  <c r="X2" i="44"/>
  <c r="X2" i="26"/>
  <c r="O21" i="47"/>
  <c r="O18" i="47"/>
  <c r="O16" i="47"/>
  <c r="X54" i="16"/>
  <c r="X50" i="16"/>
  <c r="X48" i="16"/>
  <c r="X46" i="16"/>
  <c r="O14" i="47"/>
  <c r="X47" i="16"/>
  <c r="X51" i="16"/>
  <c r="O13" i="47"/>
  <c r="X26" i="30"/>
  <c r="X30" i="30" s="1"/>
  <c r="X26" i="53"/>
  <c r="X30" i="53" s="1"/>
  <c r="X2" i="32"/>
  <c r="X52" i="16"/>
  <c r="O15" i="47"/>
  <c r="V55" i="31"/>
  <c r="V60" i="31" s="1"/>
  <c r="V63" i="31" s="1"/>
  <c r="V65" i="31" s="1"/>
  <c r="V66" i="31" s="1"/>
  <c r="V67" i="31" s="1"/>
  <c r="V13" i="16" s="1"/>
  <c r="M7" i="47" s="1"/>
  <c r="H64" i="8"/>
  <c r="X64" i="8"/>
  <c r="X66" i="8" s="1"/>
  <c r="X77" i="8" s="1"/>
  <c r="X51" i="8"/>
  <c r="X53" i="8" s="1"/>
  <c r="H53" i="8" s="1"/>
  <c r="X87" i="8"/>
  <c r="X88" i="8" s="1"/>
  <c r="F89" i="8" s="1"/>
  <c r="F97" i="8" s="1"/>
  <c r="X68" i="8"/>
  <c r="X70" i="8" s="1"/>
  <c r="X26" i="29"/>
  <c r="X30" i="29" s="1"/>
  <c r="H45" i="8"/>
  <c r="H68" i="8" s="1"/>
  <c r="X26" i="17"/>
  <c r="X30" i="17" s="1"/>
  <c r="X26" i="31"/>
  <c r="X30" i="31" s="1"/>
  <c r="X42" i="26"/>
  <c r="X44" i="26" s="1"/>
  <c r="X48" i="26" s="1"/>
  <c r="X49" i="26" s="1"/>
  <c r="X20" i="16" s="1"/>
  <c r="O10" i="47" s="1"/>
  <c r="X53" i="27"/>
  <c r="X56" i="27" s="1"/>
  <c r="X57" i="27" s="1"/>
  <c r="X17" i="16" s="1"/>
  <c r="O9" i="47" s="1"/>
  <c r="W46" i="25"/>
  <c r="W52" i="25" s="1"/>
  <c r="W47" i="25"/>
  <c r="W53" i="25" s="1"/>
  <c r="X41" i="25"/>
  <c r="X45" i="25" s="1"/>
  <c r="X46" i="25" s="1"/>
  <c r="X52" i="25" s="1"/>
  <c r="N28" i="47"/>
  <c r="W49" i="30"/>
  <c r="W51" i="30" s="1"/>
  <c r="W54" i="30" s="1"/>
  <c r="W55" i="30" s="1"/>
  <c r="W60" i="30" s="1"/>
  <c r="W63" i="30" s="1"/>
  <c r="W65" i="30" s="1"/>
  <c r="W66" i="30" s="1"/>
  <c r="W67" i="30" s="1"/>
  <c r="W12" i="16" s="1"/>
  <c r="N6" i="47" s="1"/>
  <c r="N26" i="47"/>
  <c r="W49" i="17"/>
  <c r="W51" i="17" s="1"/>
  <c r="N24" i="47"/>
  <c r="W49" i="29"/>
  <c r="W51" i="29" s="1"/>
  <c r="N22" i="47"/>
  <c r="W49" i="31"/>
  <c r="W51" i="31" s="1"/>
  <c r="X47" i="31"/>
  <c r="X50" i="31" s="1"/>
  <c r="X47" i="30"/>
  <c r="X50" i="30" s="1"/>
  <c r="X34" i="8"/>
  <c r="X47" i="17"/>
  <c r="X50" i="17" s="1"/>
  <c r="X47" i="29"/>
  <c r="X50" i="29" s="1"/>
  <c r="W73" i="8"/>
  <c r="W74" i="8" s="1"/>
  <c r="W78" i="8" s="1"/>
  <c r="W79" i="8" s="1"/>
  <c r="W57" i="8"/>
  <c r="W58" i="8" s="1"/>
  <c r="V3" i="43"/>
  <c r="V3" i="44"/>
  <c r="V3" i="19"/>
  <c r="V3" i="27"/>
  <c r="V3" i="48"/>
  <c r="V3" i="16"/>
  <c r="V3" i="26"/>
  <c r="V3" i="31"/>
  <c r="V3" i="25"/>
  <c r="V3" i="17"/>
  <c r="V3" i="29"/>
  <c r="V3" i="32"/>
  <c r="V3" i="30"/>
  <c r="V3" i="8"/>
  <c r="X65" i="8" l="1"/>
  <c r="X4" i="27"/>
  <c r="X16" i="30"/>
  <c r="X17" i="30" s="1"/>
  <c r="X16" i="26"/>
  <c r="X17" i="26" s="1"/>
  <c r="X4" i="29"/>
  <c r="W3" i="53"/>
  <c r="X31" i="16"/>
  <c r="X32" i="16" s="1"/>
  <c r="X4" i="30"/>
  <c r="N31" i="47"/>
  <c r="X49" i="53"/>
  <c r="X51" i="53" s="1"/>
  <c r="O30" i="47"/>
  <c r="X16" i="53"/>
  <c r="X17" i="53" s="1"/>
  <c r="X16" i="17"/>
  <c r="X17" i="17" s="1"/>
  <c r="X4" i="26"/>
  <c r="X4" i="32"/>
  <c r="X4" i="17"/>
  <c r="X4" i="25"/>
  <c r="X4" i="31"/>
  <c r="X4" i="44"/>
  <c r="X16" i="25"/>
  <c r="X17" i="25" s="1"/>
  <c r="X4" i="53"/>
  <c r="H49" i="8"/>
  <c r="H84" i="8" s="1"/>
  <c r="X4" i="8"/>
  <c r="X4" i="16"/>
  <c r="X52" i="8"/>
  <c r="X4" i="48"/>
  <c r="X16" i="27"/>
  <c r="X17" i="27" s="1"/>
  <c r="X4" i="43"/>
  <c r="X16" i="31"/>
  <c r="X17" i="31" s="1"/>
  <c r="X4" i="19"/>
  <c r="H88" i="8"/>
  <c r="H26" i="30"/>
  <c r="H26" i="17"/>
  <c r="H26" i="29"/>
  <c r="H51" i="8"/>
  <c r="W55" i="25"/>
  <c r="W61" i="25" s="1"/>
  <c r="W63" i="25" s="1"/>
  <c r="W24" i="16" s="1"/>
  <c r="N12" i="47" s="1"/>
  <c r="W54" i="25"/>
  <c r="W60" i="25" s="1"/>
  <c r="W62" i="25" s="1"/>
  <c r="W23" i="16" s="1"/>
  <c r="N11" i="47" s="1"/>
  <c r="X54" i="25"/>
  <c r="X60" i="25" s="1"/>
  <c r="X62" i="25" s="1"/>
  <c r="X23" i="16" s="1"/>
  <c r="O11" i="47" s="1"/>
  <c r="X47" i="25"/>
  <c r="X53" i="25" s="1"/>
  <c r="X57" i="8"/>
  <c r="X73" i="8"/>
  <c r="F54" i="8"/>
  <c r="F96" i="8" s="1"/>
  <c r="N27" i="47"/>
  <c r="X49" i="30"/>
  <c r="X51" i="30" s="1"/>
  <c r="O26" i="47"/>
  <c r="X49" i="17"/>
  <c r="X51" i="17" s="1"/>
  <c r="O24" i="47"/>
  <c r="X49" i="29"/>
  <c r="X51" i="29" s="1"/>
  <c r="O22" i="47"/>
  <c r="X49" i="31"/>
  <c r="X51" i="31" s="1"/>
  <c r="O28" i="47"/>
  <c r="W54" i="17"/>
  <c r="W55" i="17" s="1"/>
  <c r="W60" i="17" s="1"/>
  <c r="W63" i="17" s="1"/>
  <c r="W65" i="17" s="1"/>
  <c r="W66" i="17" s="1"/>
  <c r="W67" i="17" s="1"/>
  <c r="W11" i="16" s="1"/>
  <c r="N5" i="47" s="1"/>
  <c r="N25" i="47"/>
  <c r="W54" i="29"/>
  <c r="W55" i="29" s="1"/>
  <c r="W60" i="29" s="1"/>
  <c r="W63" i="29" s="1"/>
  <c r="W65" i="29" s="1"/>
  <c r="W66" i="29" s="1"/>
  <c r="W67" i="29" s="1"/>
  <c r="W10" i="16" s="1"/>
  <c r="N4" i="47" s="1"/>
  <c r="N23" i="47"/>
  <c r="W54" i="31"/>
  <c r="N29" i="47"/>
  <c r="X72" i="8"/>
  <c r="X56" i="8"/>
  <c r="H34" i="8"/>
  <c r="F35" i="8"/>
  <c r="F95" i="8" s="1"/>
  <c r="X44" i="8"/>
  <c r="H33" i="8"/>
  <c r="H44" i="8" s="1"/>
  <c r="H73" i="8"/>
  <c r="H57" i="8"/>
  <c r="W3" i="25"/>
  <c r="W3" i="17"/>
  <c r="W3" i="16"/>
  <c r="W3" i="26"/>
  <c r="W3" i="30"/>
  <c r="W3" i="32"/>
  <c r="W3" i="29"/>
  <c r="W3" i="27"/>
  <c r="W3" i="31"/>
  <c r="W3" i="48"/>
  <c r="W3" i="44"/>
  <c r="W3" i="19"/>
  <c r="W3" i="43"/>
  <c r="W3" i="8"/>
  <c r="H52" i="8" l="1"/>
  <c r="W55" i="31"/>
  <c r="W60" i="31" s="1"/>
  <c r="W63" i="31" s="1"/>
  <c r="W65" i="31" s="1"/>
  <c r="W66" i="31" s="1"/>
  <c r="W67" i="31" s="1"/>
  <c r="W13" i="16" s="1"/>
  <c r="N7" i="47" s="1"/>
  <c r="X54" i="53"/>
  <c r="X55" i="53" s="1"/>
  <c r="X60" i="53" s="1"/>
  <c r="X63" i="53" s="1"/>
  <c r="X65" i="53" s="1"/>
  <c r="X66" i="53" s="1"/>
  <c r="X67" i="53" s="1"/>
  <c r="X14" i="16" s="1"/>
  <c r="O8" i="47" s="1"/>
  <c r="O31" i="47"/>
  <c r="X58" i="8"/>
  <c r="X55" i="25"/>
  <c r="X61" i="25" s="1"/>
  <c r="X63" i="25" s="1"/>
  <c r="X24" i="16" s="1"/>
  <c r="O12" i="47" s="1"/>
  <c r="X74" i="8"/>
  <c r="X78" i="8" s="1"/>
  <c r="X79" i="8" s="1"/>
  <c r="F98" i="8"/>
  <c r="X54" i="31"/>
  <c r="X55" i="31" s="1"/>
  <c r="X60" i="31" s="1"/>
  <c r="X63" i="31" s="1"/>
  <c r="X65" i="31" s="1"/>
  <c r="X66" i="31" s="1"/>
  <c r="X67" i="31" s="1"/>
  <c r="X13" i="16" s="1"/>
  <c r="O7" i="47" s="1"/>
  <c r="O29" i="47"/>
  <c r="X54" i="17"/>
  <c r="X55" i="17" s="1"/>
  <c r="X60" i="17" s="1"/>
  <c r="X63" i="17" s="1"/>
  <c r="X65" i="17" s="1"/>
  <c r="X66" i="17" s="1"/>
  <c r="X67" i="17" s="1"/>
  <c r="X11" i="16" s="1"/>
  <c r="O5" i="47" s="1"/>
  <c r="O25" i="47"/>
  <c r="X54" i="30"/>
  <c r="X55" i="30" s="1"/>
  <c r="X60" i="30" s="1"/>
  <c r="X63" i="30" s="1"/>
  <c r="X65" i="30" s="1"/>
  <c r="X66" i="30" s="1"/>
  <c r="X67" i="30" s="1"/>
  <c r="X12" i="16" s="1"/>
  <c r="O6" i="47" s="1"/>
  <c r="O27" i="47"/>
  <c r="X54" i="29"/>
  <c r="X55" i="29" s="1"/>
  <c r="X60" i="29" s="1"/>
  <c r="X63" i="29" s="1"/>
  <c r="X65" i="29" s="1"/>
  <c r="X66" i="29" s="1"/>
  <c r="X67" i="29" s="1"/>
  <c r="X10" i="16" s="1"/>
  <c r="O4" i="47" s="1"/>
  <c r="O23" i="47"/>
  <c r="H72" i="8"/>
  <c r="H56" i="8"/>
  <c r="X3" i="53" l="1"/>
  <c r="X3" i="16"/>
  <c r="X3" i="32"/>
  <c r="X3" i="17"/>
  <c r="X3" i="19"/>
  <c r="X3" i="43"/>
  <c r="X3" i="31"/>
  <c r="X3" i="44"/>
  <c r="X3" i="8"/>
  <c r="X3" i="48"/>
  <c r="X3" i="29"/>
  <c r="X3" i="26"/>
  <c r="X3" i="25"/>
  <c r="X3" i="30"/>
  <c r="X3" i="27"/>
  <c r="E58" i="25" l="1"/>
  <c r="E59" i="25"/>
</calcChain>
</file>

<file path=xl/sharedStrings.xml><?xml version="1.0" encoding="utf-8"?>
<sst xmlns="http://schemas.openxmlformats.org/spreadsheetml/2006/main" count="2493" uniqueCount="826">
  <si>
    <t>Workbook title:</t>
  </si>
  <si>
    <t>PR19IPD04 In-period adjustments model for 2024-25</t>
  </si>
  <si>
    <t>Version:</t>
  </si>
  <si>
    <t>v1.1</t>
  </si>
  <si>
    <t>Filename:</t>
  </si>
  <si>
    <t>In-period adjustments model for 2024-25.xlsx</t>
  </si>
  <si>
    <t>Date:</t>
  </si>
  <si>
    <t>Author:</t>
  </si>
  <si>
    <t>Ofwat</t>
  </si>
  <si>
    <t>Author contact information:</t>
  </si>
  <si>
    <t>annual.reporting@ofwat.gov.uk</t>
  </si>
  <si>
    <t>Summary of workbook:</t>
  </si>
  <si>
    <t>In the PR19 final determinations, all companies had performance commitments with in-period outcome delivery incentives (ODIs) which required the revenue allowances for their price controls to be adjusted during the 2020-25 period to account for outperformance or underperformance payments earned or incurred from each company’s performance during the period.
This model has been developed based on v1.4d of the in-period adjustments model used to account for ODI performance in 2021, 2022 and 2023 as part of the in-period determinations during the 2020-25 period. However, it has been refined to adjust PR24 price controls rather than PR19 price controls to account for the difference between:
a) the forecast ODI payments that were included in the 2024 Final Determination for 2024-25 and
b) the actual ODI payments reported for 2024-25 in the 2025 Annual Performance Reports.
These differences are referred to as Blind Year (BYR) adjustments and will adjust price controls in 2026-27.</t>
  </si>
  <si>
    <t>Instructions:</t>
  </si>
  <si>
    <r>
      <t xml:space="preserve">Companies should submit a completed copy of this model as part of their request for an in-period determination. They should use outputs from the 2024-25 ODI difference model, the C-MeX and D-MeX payments earned or incurred for 2024-25 performance and any deferrals from previous years and input these values into the </t>
    </r>
    <r>
      <rPr>
        <sz val="10"/>
        <color theme="4"/>
        <rFont val="Arial"/>
        <family val="2"/>
      </rPr>
      <t>InpCompany</t>
    </r>
    <r>
      <rPr>
        <sz val="10"/>
        <color theme="1"/>
        <rFont val="Arial"/>
        <family val="2"/>
      </rPr>
      <t xml:space="preserve"> sheet.
Companies can choose to propose abatements or deferrals, which we will make a decision on as part of the in-period determinations process.
For the November CPIH data, companies should input actual data where it is known and a forecast for the November CPIH prior to the year that the payments will be applied (e.g. for performance in 2024-25, payments are normally applied in 2026-27 and so a forecast should be inputted for November 2025 CPIH).
More detailed instructions are provided in the PR19 reconciliation rulebook and any subsequent guidance that we provide.</t>
    </r>
  </si>
  <si>
    <t>Amendments:</t>
  </si>
  <si>
    <t>NA</t>
  </si>
  <si>
    <t>References:</t>
  </si>
  <si>
    <t>PR19 in-period adjustments model, PR19 ODI performance model, PR19 C-MeX reconciliation model, PR19 D-MeX reconciliation model</t>
  </si>
  <si>
    <t>PR24 final determinations: Accounting for past delivery</t>
  </si>
  <si>
    <t>Error checks:</t>
  </si>
  <si>
    <t>Model change log:</t>
  </si>
  <si>
    <t>Category</t>
  </si>
  <si>
    <t>Description</t>
  </si>
  <si>
    <t>Reference</t>
  </si>
  <si>
    <t>Version applied</t>
  </si>
  <si>
    <t>Model creation</t>
  </si>
  <si>
    <t>Model created from PR19IPD04 in-period adjustments model v1.4d</t>
  </si>
  <si>
    <t>PR19IPD04-in-period-adjustments-model-v1.4d_May2024.xlsx</t>
  </si>
  <si>
    <t>v1.0</t>
  </si>
  <si>
    <t>Formatting</t>
  </si>
  <si>
    <t>Business retail inputs (000s and £ / customer) changed from % to Custom formatting.</t>
  </si>
  <si>
    <t>InpCompany sheet</t>
  </si>
  <si>
    <t>Input and formulae change</t>
  </si>
  <si>
    <t>Changed financial model base revenue / starting point revenue inputs from real to nominal prices, removing the inflation calculation performed in the model.</t>
  </si>
  <si>
    <t>InpExpected sheet</t>
  </si>
  <si>
    <t>Input change</t>
  </si>
  <si>
    <r>
      <t>Reviewed PR24 inputs, allocated new item references and showed new items in</t>
    </r>
    <r>
      <rPr>
        <sz val="10"/>
        <color rgb="FFFF0000"/>
        <rFont val="Arial"/>
        <family val="2"/>
      </rPr>
      <t xml:space="preserve"> red font</t>
    </r>
    <r>
      <rPr>
        <sz val="10"/>
        <color theme="1"/>
        <rFont val="Arial"/>
        <family val="2"/>
      </rPr>
      <t>.</t>
    </r>
  </si>
  <si>
    <t>F_Inputs sheet</t>
  </si>
  <si>
    <t>Model functionality</t>
  </si>
  <si>
    <t>Renamed Dummy Control to Additional Control 1 and added calculations for Additional control 2 for SBB.</t>
  </si>
  <si>
    <t xml:space="preserve">Various sheets
</t>
  </si>
  <si>
    <t>Removed tariff band 3 from business retail calculations</t>
  </si>
  <si>
    <t>Input and output sheets
Business retail sheet</t>
  </si>
  <si>
    <t>Removed If formulae from the InpOfwat sheet to allow company inputs to flow through the model. These will be reinstated in our draft determination model.</t>
  </si>
  <si>
    <t>InpOfwat sheet</t>
  </si>
  <si>
    <t>Output change</t>
  </si>
  <si>
    <t>Removed company view of ODI items as these are sourced from the companies' 2024-25 ODI difference models and input into the InpCompany sheet.</t>
  </si>
  <si>
    <t>F_Outputs_Co_view</t>
  </si>
  <si>
    <t>Included SBB on the drop down company selector and renamed SWB and BRL.</t>
  </si>
  <si>
    <t xml:space="preserve">Validation
</t>
  </si>
  <si>
    <t>New inputs</t>
  </si>
  <si>
    <t>Included a new D-MeX input line for the additional control 2 for SBB to include Bristol Water area's water network plus payment.</t>
  </si>
  <si>
    <t>InpExpected
InpCompany
InpOfwat
InpActive</t>
  </si>
  <si>
    <t>Formula change</t>
  </si>
  <si>
    <t>Included the new D-MeX (additional control 2) input line and included this within the calculation performed in cell F42.</t>
  </si>
  <si>
    <t>Abatements and deferrals</t>
  </si>
  <si>
    <t>New output</t>
  </si>
  <si>
    <t>Included the company's view of the new D-MeX input line from the InpCompany sheet.</t>
  </si>
  <si>
    <t>END OF SHEET</t>
  </si>
  <si>
    <t>CELL / ROW / COLUMN COLOUR</t>
  </si>
  <si>
    <t>Font colour</t>
  </si>
  <si>
    <t>Blue text (no shade)</t>
  </si>
  <si>
    <t>Imported from another sheet/section</t>
  </si>
  <si>
    <t>Red text (no shade)</t>
  </si>
  <si>
    <t>Exported to another sheet/section *</t>
  </si>
  <si>
    <t>Black text (no shade)</t>
  </si>
  <si>
    <t>Neither imported nor exported</t>
  </si>
  <si>
    <t>* Except from input sheets (sheets with 'Inp' prefix)</t>
  </si>
  <si>
    <t>* Except to track sheet</t>
  </si>
  <si>
    <t>Green (no shade)</t>
  </si>
  <si>
    <t>Documentation</t>
  </si>
  <si>
    <t>Font and shade combinations</t>
  </si>
  <si>
    <t>Black text + light yellow shade</t>
  </si>
  <si>
    <t>Inputs</t>
  </si>
  <si>
    <t>Black text + light yellow shade with stripe through</t>
  </si>
  <si>
    <t>Pre-populated inputs</t>
  </si>
  <si>
    <t>Other</t>
  </si>
  <si>
    <t>Entire row/column with blue text + light blue shade</t>
  </si>
  <si>
    <t>Section separator</t>
  </si>
  <si>
    <t>Entire row with white text + blue shade</t>
  </si>
  <si>
    <t>End of sheet</t>
  </si>
  <si>
    <t>WORKSHEET TAB COLOUR CODING</t>
  </si>
  <si>
    <t>Input sheets</t>
  </si>
  <si>
    <t>Documentation and calculation sheets</t>
  </si>
  <si>
    <t>Quality control</t>
  </si>
  <si>
    <t>Outputs</t>
  </si>
  <si>
    <t>Reporting year</t>
  </si>
  <si>
    <t>Company name</t>
  </si>
  <si>
    <t>Acronym</t>
  </si>
  <si>
    <t>True False</t>
  </si>
  <si>
    <t>Up Down</t>
  </si>
  <si>
    <t>&lt;Select performance reporting year&gt;</t>
  </si>
  <si>
    <t>&lt;Select company&gt;</t>
  </si>
  <si>
    <t>2024-25</t>
  </si>
  <si>
    <t>Anglian Water</t>
  </si>
  <si>
    <t>ANH</t>
  </si>
  <si>
    <t>Up</t>
  </si>
  <si>
    <t>Dŵr Cymru</t>
  </si>
  <si>
    <t>WSH</t>
  </si>
  <si>
    <t>Down</t>
  </si>
  <si>
    <t>Hafren Dyfrdwy</t>
  </si>
  <si>
    <t>HDD</t>
  </si>
  <si>
    <t>Northumbrian Water</t>
  </si>
  <si>
    <t>NES</t>
  </si>
  <si>
    <t>Severn Trent Water</t>
  </si>
  <si>
    <t>SVE</t>
  </si>
  <si>
    <t>Southern Water</t>
  </si>
  <si>
    <t>SRN</t>
  </si>
  <si>
    <t>South West Water</t>
  </si>
  <si>
    <t>SBB</t>
  </si>
  <si>
    <t>South West Water (South West area)</t>
  </si>
  <si>
    <t>SWB</t>
  </si>
  <si>
    <t>Thames Water</t>
  </si>
  <si>
    <t>TMS</t>
  </si>
  <si>
    <t>United Utilities</t>
  </si>
  <si>
    <t>UUW</t>
  </si>
  <si>
    <t>NWT</t>
  </si>
  <si>
    <t>Wessex Water</t>
  </si>
  <si>
    <t>WSX</t>
  </si>
  <si>
    <t>Yorkshire Water</t>
  </si>
  <si>
    <t>YKY</t>
  </si>
  <si>
    <t>Affinity Water</t>
  </si>
  <si>
    <t>AFW</t>
  </si>
  <si>
    <t>South West Water (Bristol Area)</t>
  </si>
  <si>
    <t>BRL</t>
  </si>
  <si>
    <t>Portsmouth Water</t>
  </si>
  <si>
    <t>PRT</t>
  </si>
  <si>
    <t>SES Water</t>
  </si>
  <si>
    <t>SES</t>
  </si>
  <si>
    <t>South East Water</t>
  </si>
  <si>
    <t>SEW</t>
  </si>
  <si>
    <t>South Staffs Water</t>
  </si>
  <si>
    <t>SSC</t>
  </si>
  <si>
    <t>END</t>
  </si>
  <si>
    <t>DOCUMENTATION</t>
  </si>
  <si>
    <t>INPUTS</t>
  </si>
  <si>
    <t>CALCULATIONS</t>
  </si>
  <si>
    <t>OUTPUTS</t>
  </si>
  <si>
    <t>Cover</t>
  </si>
  <si>
    <t>InpCompany</t>
  </si>
  <si>
    <t>InpActive</t>
  </si>
  <si>
    <t>Model documentation sheet.</t>
  </si>
  <si>
    <t>Inputs from the company when requesting an in-period determination.</t>
  </si>
  <si>
    <t>Final inputs used to calculate in-period ODI payments.</t>
  </si>
  <si>
    <t>The application of ODI payments taken this year and deferred.</t>
  </si>
  <si>
    <t>Style guide</t>
  </si>
  <si>
    <t>InpOfwat</t>
  </si>
  <si>
    <t>Time</t>
  </si>
  <si>
    <t>F_Outputs</t>
  </si>
  <si>
    <t>Explanation of different formatting types.</t>
  </si>
  <si>
    <t>Inputs from Ofwat used to override the inputs provided by the company.</t>
  </si>
  <si>
    <t>Various time inputs used in calculations.</t>
  </si>
  <si>
    <t>Fountain outputs for Ofwat use</t>
  </si>
  <si>
    <t>ToC</t>
  </si>
  <si>
    <t>Index</t>
  </si>
  <si>
    <t>F_Outputs_Co view</t>
  </si>
  <si>
    <t>Table of contents.</t>
  </si>
  <si>
    <t>Inflation index inputs used in calculations.</t>
  </si>
  <si>
    <t>Inputs from the company when requesting an in-period determination for uploading to Fountain (for Ofwat use)</t>
  </si>
  <si>
    <t>F_Inputs</t>
  </si>
  <si>
    <t>Fountain inputs for Ofwat use</t>
  </si>
  <si>
    <t>ODI payments which the company has chosen to not receive or defer until a later year, plus an inflation adjustment to payments to be applied this year.</t>
  </si>
  <si>
    <t>InpExpected</t>
  </si>
  <si>
    <t>Water resources</t>
  </si>
  <si>
    <t>Ofwat's view of ODI, C-Mex and D-Mex payments and the expected values of the last determined price control variables, amounts deferred from previous year, inflation and discount rates.</t>
  </si>
  <si>
    <t>Revised K factors for water resources as a result of the company's performance.</t>
  </si>
  <si>
    <t>Validation</t>
  </si>
  <si>
    <t>Water network plus</t>
  </si>
  <si>
    <t>Values for dropdown lists.</t>
  </si>
  <si>
    <t>Revised K factors for water network plus as a result of the company's performance.</t>
  </si>
  <si>
    <t>Wastewater network plus</t>
  </si>
  <si>
    <t>Revised K factors for wastewater network plus as a result of the company's performance.</t>
  </si>
  <si>
    <t>Residential retail</t>
  </si>
  <si>
    <t>Revised total revenue for residential retail as a result of the company's performance.</t>
  </si>
  <si>
    <t>Business retail</t>
  </si>
  <si>
    <t>Revised allowed average retail cost components for business retail as a result of the company's performance.</t>
  </si>
  <si>
    <t>Bioresources (sludge)</t>
  </si>
  <si>
    <t>Revised total revenue for bioresources as a result of the company's performance.</t>
  </si>
  <si>
    <t>Additional control 1</t>
  </si>
  <si>
    <t>Revised K factors for the additional control 1 (dummy control) i.e. Thames Tideway Tunnel, water resources for South West Water Bristol area, as a result of the company's performance.</t>
  </si>
  <si>
    <t>Additional control 2</t>
  </si>
  <si>
    <t>Revised K factors for the additional control 2 i.e. water network plus for South West Water Bristol area, as a result of the company's performance.</t>
  </si>
  <si>
    <t>BYRIPD04_INP</t>
  </si>
  <si>
    <t>Run on 07 May 2025 11:00</t>
  </si>
  <si>
    <t>Item description</t>
  </si>
  <si>
    <t>Unit</t>
  </si>
  <si>
    <t>Model</t>
  </si>
  <si>
    <t>Price Review 2024</t>
  </si>
  <si>
    <t/>
  </si>
  <si>
    <t>Run 11 - PR24 FD Data</t>
  </si>
  <si>
    <t>Latest</t>
  </si>
  <si>
    <t>2017-18</t>
  </si>
  <si>
    <t>2018-19</t>
  </si>
  <si>
    <t>2019-20</t>
  </si>
  <si>
    <t>2020-21</t>
  </si>
  <si>
    <t>2021-22</t>
  </si>
  <si>
    <t>2022-23</t>
  </si>
  <si>
    <t>2023-24</t>
  </si>
  <si>
    <t>2025-26</t>
  </si>
  <si>
    <t>2026-27</t>
  </si>
  <si>
    <t>2027-28</t>
  </si>
  <si>
    <t>2028-29</t>
  </si>
  <si>
    <t>2029-30</t>
  </si>
  <si>
    <t>2020-25</t>
  </si>
  <si>
    <t>2025-30</t>
  </si>
  <si>
    <t>C_PR24FM_BB3905AL_PR24</t>
  </si>
  <si>
    <t>Ofwat - Consumer price index (including housing costs) - Consumer Price Index (with housing) for April</t>
  </si>
  <si>
    <t>nr</t>
  </si>
  <si>
    <t>C_PR24FM_BB3905MY_PR24</t>
  </si>
  <si>
    <t>Ofwat - Consumer price index (including housing costs) - Consumer Price Index (with housing) for May</t>
  </si>
  <si>
    <t>C_PR24FM_BB3905JN_PR24</t>
  </si>
  <si>
    <t>Ofwat - Consumer price index (including housing costs) - Consumer Price Index (with housing) for June</t>
  </si>
  <si>
    <t>C_PR24FM_BB3905JL_PR24</t>
  </si>
  <si>
    <t>Ofwat - Consumer price index (including housing costs) - Consumer Price Index (with housing) for July</t>
  </si>
  <si>
    <t>C_PR24FM_BB3905AT_PR24</t>
  </si>
  <si>
    <t>Ofwat - Consumer price index (including housing costs) - Consumer Price Index (with housing) for August</t>
  </si>
  <si>
    <t>C_PR24FM_BB3905SR_PR24</t>
  </si>
  <si>
    <t>Ofwat - Consumer price index (including housing costs) - Consumer Price Index (with housing) for September</t>
  </si>
  <si>
    <t>C_PR24FM_BB3905OR_PR24</t>
  </si>
  <si>
    <t>Ofwat - Consumer price index (including housing costs) - Consumer Price Index (with housing) for October</t>
  </si>
  <si>
    <t>C_PR24FM_BB3905NR_PR24</t>
  </si>
  <si>
    <t>Ofwat - Consumer price index (including housing costs) - Consumer Price Index (with housing) for November</t>
  </si>
  <si>
    <t>C_PR24FM_BB3905DR_PR24</t>
  </si>
  <si>
    <t>Ofwat - Consumer price index (including housing costs) - Consumer Price Index (with housing) for December</t>
  </si>
  <si>
    <t>C_PR24FM_BB3905JY_PR24</t>
  </si>
  <si>
    <t>Ofwat - Consumer price index (including housing costs) - Consumer Price Index (with housing) for January</t>
  </si>
  <si>
    <t>C_PR24FM_BB3905FY_PR24</t>
  </si>
  <si>
    <t>Ofwat - Consumer price index (including housing costs) - Consumer Price Index (with housing) for February</t>
  </si>
  <si>
    <t>C_PR24FM_BB3905MH_PR24</t>
  </si>
  <si>
    <t>Ofwat - Consumer price index (including housing costs) - Consumer Price Index (with housing) for March</t>
  </si>
  <si>
    <t>C_PR24FM_RR9_003WR_PR24</t>
  </si>
  <si>
    <t>Ofwat - Discount rate for reprofiling allowed revenue (WR)</t>
  </si>
  <si>
    <t>%</t>
  </si>
  <si>
    <t>C_PR24FM_RR9_003WN_PR24</t>
  </si>
  <si>
    <t>Ofwat - Discount rate for reprofiling allowed revenue (WN)</t>
  </si>
  <si>
    <t>C_PR24FM_RR9_003WWN_PR24</t>
  </si>
  <si>
    <t>Ofwat - Discount rate for reprofiling allowed revenue (WWN)</t>
  </si>
  <si>
    <t>C_PR24FM_RR9_003BR_PR24</t>
  </si>
  <si>
    <t>Ofwat - Discount rate for reprofiling allowed revenue (BR)</t>
  </si>
  <si>
    <t>C_PR24FM_RR9_003ADDN1_PR24</t>
  </si>
  <si>
    <t>Ofwat - Discount rate for reprofiling allowed revenue (ADDN1)</t>
  </si>
  <si>
    <t>C_PR24FM_RR9_003ADDN2_PR24</t>
  </si>
  <si>
    <t>Ofwat - Discount rate for reprofiling allowed revenue (ADDN2)</t>
  </si>
  <si>
    <t>C_PR24FM_RR9_003TOTAL_PR24</t>
  </si>
  <si>
    <t>Ofwat - Discount rate for reprofiling allowed revenue (TOTAL)</t>
  </si>
  <si>
    <t>C_PR24FM_RR1_009</t>
  </si>
  <si>
    <t>Ofwat - Appointee WACC - real</t>
  </si>
  <si>
    <t>C_PR24FM_RR9_046WR_NOM_PR24</t>
  </si>
  <si>
    <t>Ofwat - Base revenue for 2024-25 - nominal (WR)</t>
  </si>
  <si>
    <t>£m</t>
  </si>
  <si>
    <t>C_PR24FM_RR10_012WR_PR24</t>
  </si>
  <si>
    <t>Allowed revenue by year - Allowed revenue (annual); Water resources</t>
  </si>
  <si>
    <t>C_PR24FM_RR10_013WR_PR24</t>
  </si>
  <si>
    <t>K factors by charging year (2022-23 prices) - K factors by charging year Water resources</t>
  </si>
  <si>
    <t>C_PR24FM_RR10_013WR_PR24_IPD04_OUT</t>
  </si>
  <si>
    <t>Revised K - Water resources</t>
  </si>
  <si>
    <t>C_PR24FM_RR9_046WN_NOM_PR24</t>
  </si>
  <si>
    <t>Ofwat - Base revenue for 2024-25 - nominal (WN)</t>
  </si>
  <si>
    <t>C_PR24FM_RR10_012WN_PR24</t>
  </si>
  <si>
    <t>Allowed revenue by year - Allowed revenue (annual); Water network plus</t>
  </si>
  <si>
    <t>C_PR24FM_RR10_013WN_PR24</t>
  </si>
  <si>
    <t>K factors by charging year (2022-23 prices) - K factors by charging year Water network plus</t>
  </si>
  <si>
    <t>C_PR24FM_RR10_013WN_PR24_IPD04_OUT</t>
  </si>
  <si>
    <t>Revised K - Water network plus</t>
  </si>
  <si>
    <t>C_PR24FM_RR9_046WWN_NOM_PR24</t>
  </si>
  <si>
    <t>Ofwat - Base revenue for 2024-25 - nominal (WWN)</t>
  </si>
  <si>
    <t>C_PR24FM_RR10_012WWN_PR24</t>
  </si>
  <si>
    <t>Allowed revenue by year - Allowed revenue (annual); Wastewater network plus</t>
  </si>
  <si>
    <t>C_PR24FM_RR10_013WWN_PR24</t>
  </si>
  <si>
    <t>K factors by charging year (2022-23 prices) - K factors by charging year Wastewater network plus</t>
  </si>
  <si>
    <t>C_PR24FM_RR10_013WWN_PR24_IPD04_OUT</t>
  </si>
  <si>
    <t>Revised K - Wastewater network plus</t>
  </si>
  <si>
    <t>C_PR24FM_RR9_047_PR24_PUBLISHED</t>
  </si>
  <si>
    <t>Forecast volume of sludge (TDS), FTDS :Price Control for Bioresources numbers - FOR DETERMINATION</t>
  </si>
  <si>
    <t>tonnes</t>
  </si>
  <si>
    <t>C_PR24FM_284_PR24</t>
  </si>
  <si>
    <t>Bio resources - TDS revenue £/tonne - real</t>
  </si>
  <si>
    <t>£/tonne</t>
  </si>
  <si>
    <t>C_PR24FM_PR24OT03_UR_PUBLISHED</t>
  </si>
  <si>
    <t>Unadjusted Revenue, URt - FOR DETERMINATION</t>
  </si>
  <si>
    <t>C_PR24FM_RR10_012BR_PR24</t>
  </si>
  <si>
    <t>Allowed revenue by year - Allowed revenue (annual); Bioresources</t>
  </si>
  <si>
    <t>C_PR24FM_RR10_012BR_PR24_IPD04_OUT</t>
  </si>
  <si>
    <t>Bioresources (sludge) - Revised total revenue (URt)</t>
  </si>
  <si>
    <t>C_PR24FM_RR9_046ADDN1_NOM_PR24</t>
  </si>
  <si>
    <t>Ofwat - Base revenue for 2024-25 - nominal (ADDN1)</t>
  </si>
  <si>
    <t>C_PR24FM_RR10_012ADDN1_PR24</t>
  </si>
  <si>
    <t>Allowed revenue by year - Allowed revenue (annual); Additional control 1</t>
  </si>
  <si>
    <t>C_PR24FM_RR10_013ADDN1_PR24</t>
  </si>
  <si>
    <t>K factors by charging year (2022-23 prices) - K factors by charging year Additional control 1</t>
  </si>
  <si>
    <t>C_PR24FM_RR10_013ADDN1_PR24_IPD04_OUT</t>
  </si>
  <si>
    <t>Revised K - Additional control 1</t>
  </si>
  <si>
    <t>C_PR24FM_RR9_046ADDN2_NOM_PR24</t>
  </si>
  <si>
    <t>Ofwat - Base revenue for 2024-25 - nominal (ADDN2)</t>
  </si>
  <si>
    <t>C_PR24FM_RR10_012ADDN2_PR24</t>
  </si>
  <si>
    <t>Allowed revenue by year - Allowed revenue (annual); Additional control 2</t>
  </si>
  <si>
    <t>C_PR24FM_RR10_013ADDN2_PR24</t>
  </si>
  <si>
    <t>K factors by charging year (2022-23 prices) - K factors by charging year Additional control 2</t>
  </si>
  <si>
    <t>C_PR24FM_RR10_013ADDN2_PR24_IPD04_OUT</t>
  </si>
  <si>
    <t>Revised K - Additional control 2</t>
  </si>
  <si>
    <t>C_PR24FM_242_PR24</t>
  </si>
  <si>
    <t>Price Limits Residential - Allowance per measured water customer inc DPC margin &amp; post financeability (£) - nominal</t>
  </si>
  <si>
    <t>£ / customer</t>
  </si>
  <si>
    <t>C_PR24FM_242_PR24_IPD04_OUT</t>
  </si>
  <si>
    <t>Revised retail revenue cost per customer (m)</t>
  </si>
  <si>
    <t>C_RR7_003TOTAL_PR24</t>
  </si>
  <si>
    <t>Total customer numbers for residential retail</t>
  </si>
  <si>
    <t>000s</t>
  </si>
  <si>
    <t>C_PR24FM_285_PR24</t>
  </si>
  <si>
    <t>Price Limits Business - Tariff Band - Retail cost per customer inc Margin, DPC &amp; business retail revenue adjustment - nominal (1)</t>
  </si>
  <si>
    <t>C_PR24FM_286_PR24</t>
  </si>
  <si>
    <t>Price Limits Business - Tariff Band - Retail cost per customer inc Margin, DPC &amp; business retail revenue adjustment - nominal (2)</t>
  </si>
  <si>
    <t>C_PR24FM_266_PERCENT_PR24</t>
  </si>
  <si>
    <t>Proportion of costs - tariff band 1</t>
  </si>
  <si>
    <t>C_PR24FM_267_PERCENT_PR24</t>
  </si>
  <si>
    <t>Proportion of costs - tariff band 2</t>
  </si>
  <si>
    <t>C_PR24CA18_TB1_NHHCN</t>
  </si>
  <si>
    <t>Tariff Band 1 - Number of customers - Water &lt; 50Ml - nominal</t>
  </si>
  <si>
    <t>C_PR24CA18_TB2_NHHCN</t>
  </si>
  <si>
    <t>Tariff Band 2 - Number of customers - Wastewater - nominal</t>
  </si>
  <si>
    <t>C_PR24FM_285_PR24_IPD04_OUT</t>
  </si>
  <si>
    <t>Revised retail cost per customer inc Margin, DPC &amp; business retail revenue adjustment - nominal (1) [Water supplies (m) - tariff band 1]</t>
  </si>
  <si>
    <t>C_PR24FM_286_PR24_IPD04_OUT</t>
  </si>
  <si>
    <t>Revised retail cost per customer inc Margin, DPC &amp; business retail revenue adjustment - nominal (1) [Watewater supplies (m) - tariff band 2]</t>
  </si>
  <si>
    <t>IPD04_CO_IN_61</t>
  </si>
  <si>
    <t>Discount rate (wholesale allowed return on capital - real CPIH)</t>
  </si>
  <si>
    <t>IPD04_CO_IN_62</t>
  </si>
  <si>
    <t>Discount rate (appointee allowed return on capital - real CPIH)</t>
  </si>
  <si>
    <t>IPD04_CO_IN_63</t>
  </si>
  <si>
    <t>Years of delay for deferrals</t>
  </si>
  <si>
    <t>IPD04_CO_IN_64</t>
  </si>
  <si>
    <t>Marginal tax rate</t>
  </si>
  <si>
    <t>IPD04_CO_IN_65</t>
  </si>
  <si>
    <t>November CPIH index</t>
  </si>
  <si>
    <t>IPD04_CO_IN_66</t>
  </si>
  <si>
    <t>Base revenue for 2024-25 - nominal (WR)</t>
  </si>
  <si>
    <t>IPD04_CO_IN_67</t>
  </si>
  <si>
    <t>K factors (last determined) - water resources</t>
  </si>
  <si>
    <t>IPD04_CO_IN_68</t>
  </si>
  <si>
    <t>Base revenue for 2024-25 - nominal (WN)</t>
  </si>
  <si>
    <t>IPD04_CO_IN_69</t>
  </si>
  <si>
    <t>K factors (last determined) - water network plus</t>
  </si>
  <si>
    <t>IPD04_CO_IN_70</t>
  </si>
  <si>
    <t>Base revenue for 2024-25 - nominal (WWN)</t>
  </si>
  <si>
    <t>IPD04_CO_IN_71</t>
  </si>
  <si>
    <t>K factors (last determined) - wastewater network plus</t>
  </si>
  <si>
    <t>IPD04_CO_IN_72</t>
  </si>
  <si>
    <t>IPD04_CO_IN_94</t>
  </si>
  <si>
    <t>Revenue cost per customer (m) - residential retail</t>
  </si>
  <si>
    <t>IPD04_CO_IN_95</t>
  </si>
  <si>
    <t>IPD04_CO_IN_96</t>
  </si>
  <si>
    <t>IPD04_CO_IN_97</t>
  </si>
  <si>
    <t>IPD04_CO_IN_98</t>
  </si>
  <si>
    <t>IPD04_CO_IN_99</t>
  </si>
  <si>
    <t>IPD04_CO_IN_100</t>
  </si>
  <si>
    <t>IPD04_CO_IN_101</t>
  </si>
  <si>
    <t>IPD04_CO_IN_92</t>
  </si>
  <si>
    <t>IPD04_CO_IN_93</t>
  </si>
  <si>
    <t>K factors (last determined) - additional control 1</t>
  </si>
  <si>
    <t>IPD04_CO_IN_92a</t>
  </si>
  <si>
    <t>IPD04_CO_IN_93a</t>
  </si>
  <si>
    <t>K factors (last determined) - additional control 2</t>
  </si>
  <si>
    <t>PR24PD27_REV_WR_PR24_BYA</t>
  </si>
  <si>
    <t>In-period and end of period revenue BYR ODI adjustments - Water resources - £m (2017-18 prices)</t>
  </si>
  <si>
    <t>PR24PD27_REV_WN_PR24_BYA</t>
  </si>
  <si>
    <t>In-period and end of period revenue BYR ODI adjustments - Water network plus - £m (2017-18 prices)</t>
  </si>
  <si>
    <t>PR24PD27_REV_WWN_PR24_BYA</t>
  </si>
  <si>
    <t>In-period and end of period revenue BYR ODI adjustments - Wastewater network plus - £m (2017-18 prices)</t>
  </si>
  <si>
    <t>PR24PD27_REV_BIO_PR24_BYA</t>
  </si>
  <si>
    <t>In-period and end of period revenue BYR ODI adjustments - Bioresources (sludge) - £m (2017-18 prices)</t>
  </si>
  <si>
    <t>PR24PD27_REV_RR_PR24_BYA</t>
  </si>
  <si>
    <t>In-period and end of period revenue BYR ODI adjustments - Residential retail - £m (2017-18 prices)</t>
  </si>
  <si>
    <t>PR24PD27_REV_BR_PR24_BYA</t>
  </si>
  <si>
    <t>In-period and end of period revenue BYR ODI adjustments - Business retail - £m (2017-18 prices)</t>
  </si>
  <si>
    <t>PR24PD27_REV_ADDN1_PR24_BYA</t>
  </si>
  <si>
    <t>In-period and end of period revenue BYR ODI adjustments - Additional control 1 - £m (2017-18 prices)</t>
  </si>
  <si>
    <t>PR24PD27_REV_ADDN2_PR24_BYA</t>
  </si>
  <si>
    <t>In-period and end of period revenue BYR ODI adjustments - Additional control 2 - £m (2017-18 prices)</t>
  </si>
  <si>
    <t>PR24PD27_REV_TOT_PR24_BYA</t>
  </si>
  <si>
    <t>In-period and end of period revenue BYR ODI adjustments - Total - £m (2017-18 prices)</t>
  </si>
  <si>
    <t>IPD04_CO_IN_01</t>
  </si>
  <si>
    <t>ODI payment deferred from previous reconciliation year - WR</t>
  </si>
  <si>
    <t>IPD04_CO_IN_02</t>
  </si>
  <si>
    <t>ODI payment deferred from previous reconciliation year - WN</t>
  </si>
  <si>
    <t>IPD04_CO_IN_03</t>
  </si>
  <si>
    <t>ODI payment deferred from previous reconciliation year - WWN</t>
  </si>
  <si>
    <t>IPD04_CO_IN_04</t>
  </si>
  <si>
    <t>ODI payment deferred from previous reconciliation year - BR</t>
  </si>
  <si>
    <t>IPD04_CO_IN_05</t>
  </si>
  <si>
    <t>ODI payment deferred from previous reconciliation year - RR</t>
  </si>
  <si>
    <t>IPD04_CO_IN_06</t>
  </si>
  <si>
    <t>ODI payment deferred from previous reconciliation year - RB</t>
  </si>
  <si>
    <t>IPD04_CO_IN_07</t>
  </si>
  <si>
    <t>ODI payment deferred from previous reconciliation year - ADDN1</t>
  </si>
  <si>
    <t>IPD04_CO_IN_07a</t>
  </si>
  <si>
    <t>ODI payment deferred from previous reconciliation year - ADDN2</t>
  </si>
  <si>
    <t>IPD04_CO_IN_11</t>
  </si>
  <si>
    <t>Voluntary abatement - WR</t>
  </si>
  <si>
    <t>IPD04_CO_IN_12</t>
  </si>
  <si>
    <t>Voluntary abatement - WN</t>
  </si>
  <si>
    <t>IPD04_CO_IN_13</t>
  </si>
  <si>
    <t>Voluntary abatement - WWN</t>
  </si>
  <si>
    <t>IPD04_CO_IN_14</t>
  </si>
  <si>
    <t>Voluntary abatement - BR</t>
  </si>
  <si>
    <t>IPD04_CO_IN_15</t>
  </si>
  <si>
    <t>Voluntary abatement - RR</t>
  </si>
  <si>
    <t>IPD04_CO_IN_16</t>
  </si>
  <si>
    <t>Voluntary abatement - RB</t>
  </si>
  <si>
    <t>IPD04_CO_IN_17</t>
  </si>
  <si>
    <t>Voluntary abatement - ADDN1</t>
  </si>
  <si>
    <t>IPD04_CO_IN_17a</t>
  </si>
  <si>
    <t>Voluntary abatement - ADDN2</t>
  </si>
  <si>
    <t>IPD04_CO_IN_21</t>
  </si>
  <si>
    <t>Voluntary deferral - WR</t>
  </si>
  <si>
    <t>IPD04_CO_IN_22</t>
  </si>
  <si>
    <t>Voluntary deferral - WN</t>
  </si>
  <si>
    <t>IPD04_CO_IN_23</t>
  </si>
  <si>
    <t>Voluntary deferral - WWN</t>
  </si>
  <si>
    <t>IPD04_CO_IN_24</t>
  </si>
  <si>
    <t>Voluntary deferral - BR</t>
  </si>
  <si>
    <t>IPD04_CO_IN_25</t>
  </si>
  <si>
    <t>Voluntary deferral - RR</t>
  </si>
  <si>
    <t>IPD04_CO_IN_26</t>
  </si>
  <si>
    <t>Voluntary deferral - RB</t>
  </si>
  <si>
    <t>IPD04_CO_IN_27</t>
  </si>
  <si>
    <t>Voluntary deferral - ADDN1</t>
  </si>
  <si>
    <t>IPD04_CO_IN_27a</t>
  </si>
  <si>
    <t>Voluntary deferral - ADDN2</t>
  </si>
  <si>
    <t>IPD04_CO_IN_31</t>
  </si>
  <si>
    <t>Other bespoke adjustments - water resources</t>
  </si>
  <si>
    <t>IPD04_CO_IN_32</t>
  </si>
  <si>
    <t>Other bespoke adjustments - water network plus</t>
  </si>
  <si>
    <t>IPD04_CO_IN_33</t>
  </si>
  <si>
    <t>Other bespoke adjustments - wastewater network plus</t>
  </si>
  <si>
    <t>IPD04_CO_IN_34</t>
  </si>
  <si>
    <t>Other bespoke adjustments - bioresources (sludge)</t>
  </si>
  <si>
    <t>IPD04_CO_IN_35</t>
  </si>
  <si>
    <t>Other bespoke adjustments - residential retail</t>
  </si>
  <si>
    <t>IPD04_CO_IN_36</t>
  </si>
  <si>
    <t>Other bespoke adjustments - business retail</t>
  </si>
  <si>
    <t>IPD04_CO_IN_37</t>
  </si>
  <si>
    <t>Other bespoke adjustments - additional control 1</t>
  </si>
  <si>
    <t>IPD04_CO_IN_37a</t>
  </si>
  <si>
    <t>Other bespoke adjustments - additional control 2</t>
  </si>
  <si>
    <t>IPD04_CO_IN_51</t>
  </si>
  <si>
    <t>Other in-period payments - C-MeX (residential retail)</t>
  </si>
  <si>
    <t>IPD04_CO_IN_52</t>
  </si>
  <si>
    <t>Other in-period payments - D-MeX (water network plus)</t>
  </si>
  <si>
    <t>IPD04_CO_IN_54</t>
  </si>
  <si>
    <t>Other in-period payments - D-MeX (additional control 2)</t>
  </si>
  <si>
    <t>IPD04_CO_IN_53</t>
  </si>
  <si>
    <t>Other in-period payments - D-MeX (wastewater network plus)</t>
  </si>
  <si>
    <t>IPD02_OUT_01</t>
  </si>
  <si>
    <t>Other in-period performance payments - C-MeX (residential retail)</t>
  </si>
  <si>
    <t>IPD02_OUT_02</t>
  </si>
  <si>
    <t>Standard performance payments - C-MeX (residential retail)</t>
  </si>
  <si>
    <t>IPD02_OUT_03</t>
  </si>
  <si>
    <t>Higher performance payments - C-MeX (residential retail)</t>
  </si>
  <si>
    <t>IPD03_OUT_01</t>
  </si>
  <si>
    <t>Other in-period performance payments - D-MeX (water network plus)</t>
  </si>
  <si>
    <t>IPD03_OUT_02</t>
  </si>
  <si>
    <t>Other in-period performance payments - D-MeX (wastewater network plus)</t>
  </si>
  <si>
    <t>IPD03_OUT_03</t>
  </si>
  <si>
    <t>Other in-period performance payments - D-MeX (additional control 2)</t>
  </si>
  <si>
    <t>IPD04_IN_01</t>
  </si>
  <si>
    <t>IPD04_IN_02</t>
  </si>
  <si>
    <t>IPD04_IN_03</t>
  </si>
  <si>
    <t>IPD04_IN_04</t>
  </si>
  <si>
    <t>IPD04_IN_05</t>
  </si>
  <si>
    <t>IPD04_IN_06</t>
  </si>
  <si>
    <t>IPD04_IN_07</t>
  </si>
  <si>
    <t>IPD04_IN_07a</t>
  </si>
  <si>
    <t>IPD04_IN_11</t>
  </si>
  <si>
    <t>IPD04_IN_12</t>
  </si>
  <si>
    <t>IPD04_IN_13</t>
  </si>
  <si>
    <t>IPD04_IN_14</t>
  </si>
  <si>
    <t>IPD04_IN_15</t>
  </si>
  <si>
    <t>IPD04_IN_16</t>
  </si>
  <si>
    <t>IPD04_IN_17</t>
  </si>
  <si>
    <t>IPD04_IN_17a</t>
  </si>
  <si>
    <t>IPD04_IN_21</t>
  </si>
  <si>
    <t>IPD04_IN_22</t>
  </si>
  <si>
    <t>IPD04_IN_23</t>
  </si>
  <si>
    <t>IPD04_IN_24</t>
  </si>
  <si>
    <t>IPD04_IN_25</t>
  </si>
  <si>
    <t>IPD04_IN_26</t>
  </si>
  <si>
    <t>IPD04_IN_27</t>
  </si>
  <si>
    <t>IPD04_IN_27a</t>
  </si>
  <si>
    <t>IPD04_IN_31</t>
  </si>
  <si>
    <t>IPD04_IN_32</t>
  </si>
  <si>
    <t>IPD04_IN_33</t>
  </si>
  <si>
    <t>IPD04_IN_34</t>
  </si>
  <si>
    <t>IPD04_IN_35</t>
  </si>
  <si>
    <t>IPD04_IN_36</t>
  </si>
  <si>
    <t>IPD04_IN_37</t>
  </si>
  <si>
    <t>IPD04_IN_37a</t>
  </si>
  <si>
    <t>C_PR24FM_RR5_030_PR24</t>
  </si>
  <si>
    <t>Ofwat - Statutory Corporation tax rate</t>
  </si>
  <si>
    <t>BB3905AL_PR24</t>
  </si>
  <si>
    <t>Consumer Price Index (with housing) for April</t>
  </si>
  <si>
    <t>BB3905MY_PR24</t>
  </si>
  <si>
    <t>Consumer Price Index (with housing) for May</t>
  </si>
  <si>
    <t>BB3905JN_PR24</t>
  </si>
  <si>
    <t>Consumer Price Index (with housing) for June</t>
  </si>
  <si>
    <t>BB3905JL_PR24</t>
  </si>
  <si>
    <t>Consumer Price Index (with housing) for July</t>
  </si>
  <si>
    <t>BB3905AT_PR24</t>
  </si>
  <si>
    <t>Consumer Price Index (with housing) for August</t>
  </si>
  <si>
    <t>BB3905SR_PR24</t>
  </si>
  <si>
    <t>Consumer Price Index (with housing) for September</t>
  </si>
  <si>
    <t>BB3905OR_PR24</t>
  </si>
  <si>
    <t>Consumer Price Index (with housing) for October</t>
  </si>
  <si>
    <t>BB3905NR_PR24</t>
  </si>
  <si>
    <t>Consumer Price Index (with housing) for November</t>
  </si>
  <si>
    <t>BB3905DR_PR24</t>
  </si>
  <si>
    <t>Consumer Price Index (with housing) for December</t>
  </si>
  <si>
    <t>BB3905JY_PR24</t>
  </si>
  <si>
    <t>Consumer Price Index (with housing) for January</t>
  </si>
  <si>
    <t>BB3905FY_PR24</t>
  </si>
  <si>
    <t>Consumer Price Index (with housing) for February</t>
  </si>
  <si>
    <t>BB3905MH_PR24</t>
  </si>
  <si>
    <t>Consumer Price Index (with housing) for March</t>
  </si>
  <si>
    <t>C_PR24PD27_REV_WR_PR24_BYA</t>
  </si>
  <si>
    <t>C_PR24PD27_REV_WN_PR24_BYA</t>
  </si>
  <si>
    <t>C_PR24PD27_REV_WWN_PR24_BYA</t>
  </si>
  <si>
    <t>C_PR24PD27_REV_BIO_PR24_BYA</t>
  </si>
  <si>
    <t>C_PR24PD27_REV_RR_PR24_BYA</t>
  </si>
  <si>
    <t>C_PR24PD27_REV_BR_PR24_BYA</t>
  </si>
  <si>
    <t>C_PR24PD27_REV_ADDN1_PR24_BYA</t>
  </si>
  <si>
    <t>C_PR24PD27_REV_ADDN2_PR24_BYA</t>
  </si>
  <si>
    <t>C_PR24PD27_REV_TOT_PR24_BYA</t>
  </si>
  <si>
    <t>Constant</t>
  </si>
  <si>
    <t>Total</t>
  </si>
  <si>
    <t>Text</t>
  </si>
  <si>
    <t>Ofwat company acronym</t>
  </si>
  <si>
    <t>Financial year</t>
  </si>
  <si>
    <t>Price base for ODI rates</t>
  </si>
  <si>
    <t>Units and price base for ODI payments (FYA)</t>
  </si>
  <si>
    <t>ODI payments</t>
  </si>
  <si>
    <t>ODI payments (by price control)</t>
  </si>
  <si>
    <t>In-period and end of period revenue BYR ODI adjustments - Water resources</t>
  </si>
  <si>
    <t>In-period and end of period revenue BYR ODI adjustments - Water network plus</t>
  </si>
  <si>
    <t>In-period and end of period revenue BYR ODI adjustments - Wastewater network plus</t>
  </si>
  <si>
    <t>In-period and end of period revenue BYR ODI adjustments - Bioresources (sludge)</t>
  </si>
  <si>
    <t>In-period and end of period revenue BYR ODI adjustments - Residential retail</t>
  </si>
  <si>
    <t>In-period and end of period revenue BYR ODI adjustments - Business retail</t>
  </si>
  <si>
    <t>In-period and end of period revenue BYR ODI adjustments - Additional control 1</t>
  </si>
  <si>
    <t>In-period and end of period revenue BYR ODI adjustments - Additional control 2</t>
  </si>
  <si>
    <t>Other in-period payments</t>
  </si>
  <si>
    <t>ODI payments deferred from previous reconciliation year</t>
  </si>
  <si>
    <t>ODI payments deferred from previous reconciliation year - water resources</t>
  </si>
  <si>
    <t>ODI payments deferred from previous reconciliation year - water network plus</t>
  </si>
  <si>
    <t>ODI payments deferred from previous reconciliation year - wastewater network plus</t>
  </si>
  <si>
    <t>ODI payments deferred from previous reconciliation year - bioresources (sludge)</t>
  </si>
  <si>
    <t>ODI payments deferred from previous reconciliation year - residential retail</t>
  </si>
  <si>
    <t>ODI payments deferred from previous reconciliation year - business retail</t>
  </si>
  <si>
    <t>ODI payments deferred from previous reconciliation year - additional control 1</t>
  </si>
  <si>
    <t>ODI payments deferred from previous reconciliation year - additional control 2</t>
  </si>
  <si>
    <t>Voluntary abatements or deferrals - to be applied this year</t>
  </si>
  <si>
    <t>Companies can forego outperformance payments entirely (an abatement) or defer when they are collected (a deferral). These are the abatements or deferrals requested by companies.</t>
  </si>
  <si>
    <t>Voluntary abatements</t>
  </si>
  <si>
    <t>Voluntary abatements - water resources</t>
  </si>
  <si>
    <t>Voluntary abatements - water network plus</t>
  </si>
  <si>
    <t>Voluntary abatements - wastewater network plus</t>
  </si>
  <si>
    <t>Voluntary abatements - bioresources (sludge)</t>
  </si>
  <si>
    <t>Voluntary abatements - residential retail</t>
  </si>
  <si>
    <t>Voluntary abatements - business retail</t>
  </si>
  <si>
    <t>Voluntary abatements - additional control 1</t>
  </si>
  <si>
    <t>Voluntary abatements - additional control 2</t>
  </si>
  <si>
    <t>Voluntary deferrals</t>
  </si>
  <si>
    <t>Voluntary deferrals - water resources</t>
  </si>
  <si>
    <t>Voluntary deferrals - water network plus</t>
  </si>
  <si>
    <t>Voluntary deferrals - wastewater network plus</t>
  </si>
  <si>
    <t>Voluntary deferrals - bioresources (sludge)</t>
  </si>
  <si>
    <t>Voluntary deferrals - residential retail</t>
  </si>
  <si>
    <t>Voluntary deferrals - business retail</t>
  </si>
  <si>
    <t>Voluntary deferrals - additional control 1</t>
  </si>
  <si>
    <t>Voluntary deferrals - additional control 2</t>
  </si>
  <si>
    <t>Other bespoke adjustments - to be applied this year</t>
  </si>
  <si>
    <t>Other bespoke adjustments to be applied in the in-period determination.</t>
  </si>
  <si>
    <t>Reconciliation adjustments</t>
  </si>
  <si>
    <t>Company-wide adjustments</t>
  </si>
  <si>
    <t>Percentage</t>
  </si>
  <si>
    <t>Number</t>
  </si>
  <si>
    <t>Monthly CPIH index</t>
  </si>
  <si>
    <t>CPIH 2017-18 - April</t>
  </si>
  <si>
    <t>CPIH 2017-18 - May</t>
  </si>
  <si>
    <t>CPIH 2017-18 - June</t>
  </si>
  <si>
    <t>CPIH 2017-18 - July</t>
  </si>
  <si>
    <t>CPIH 2017-18 - August</t>
  </si>
  <si>
    <t>CPIH 2017-18 - September</t>
  </si>
  <si>
    <t>CPIH 2017-18 - October</t>
  </si>
  <si>
    <t>CPIH 2017-18 - November</t>
  </si>
  <si>
    <t>CPIH 2017-18 - December</t>
  </si>
  <si>
    <t>CPIH 2017-18 - January</t>
  </si>
  <si>
    <t>CPIH 2017-18 - February</t>
  </si>
  <si>
    <t>CPIH 2017-18 - March</t>
  </si>
  <si>
    <t>CPIH 2017-18 financial year average</t>
  </si>
  <si>
    <t>CPIH 2022-23 financial year average</t>
  </si>
  <si>
    <t>Price control variables</t>
  </si>
  <si>
    <t>Allowed revenue starting point in FD24 - water resources</t>
  </si>
  <si>
    <t>£m (nominal)</t>
  </si>
  <si>
    <t>Allowed revenue starting point in FD24 - water network plus</t>
  </si>
  <si>
    <t>Allowed revenue starting point in FD24 - wastewater network plus</t>
  </si>
  <si>
    <t>Unadjusted revenue (URt in last determination) - bioresources (sludge)</t>
  </si>
  <si>
    <t>£m (2022-23 FYA CPIH prices)</t>
  </si>
  <si>
    <t>£ / customer (nominal)</t>
  </si>
  <si>
    <t>Allowed revenue starting point in FD24 - additional control 1</t>
  </si>
  <si>
    <t>Allowed revenue starting point in FD24 - additional control 2</t>
  </si>
  <si>
    <t>First date of time ruler</t>
  </si>
  <si>
    <t>date</t>
  </si>
  <si>
    <t>Last Pre Forecast Date</t>
  </si>
  <si>
    <t>Acquisition date (midnight)</t>
  </si>
  <si>
    <t>Length of forecast period</t>
  </si>
  <si>
    <t>years</t>
  </si>
  <si>
    <t>Last forecast date</t>
  </si>
  <si>
    <t>Operation Start Date (midnight)</t>
  </si>
  <si>
    <t>Operation Finish Date (midnight)</t>
  </si>
  <si>
    <t>First Modelling Column Financial Year Number</t>
  </si>
  <si>
    <t>year</t>
  </si>
  <si>
    <t>Financial Year End Month Number</t>
  </si>
  <si>
    <t>month #</t>
  </si>
  <si>
    <t>Inputs - OFWAT USE ONLY</t>
  </si>
  <si>
    <t>Companies can forego outperformance payments entirely (an abatement) or defer when they are collected (a deferral). These are the abatements or deferrals determined by Ofwat.</t>
  </si>
  <si>
    <t>November CPIH Index</t>
  </si>
  <si>
    <t>Thousands in a million</t>
  </si>
  <si>
    <t>unit</t>
  </si>
  <si>
    <t>Net ODI payments (by price control)</t>
  </si>
  <si>
    <t>Companies can forego outperformance payments entirely (an abatement) or defer when they are collected (a deferral).</t>
  </si>
  <si>
    <t>Last pre forecast date</t>
  </si>
  <si>
    <t>Number of years lag for adjustment</t>
  </si>
  <si>
    <t>Post forecast modelling period end</t>
  </si>
  <si>
    <t>Operation start date (midnight)</t>
  </si>
  <si>
    <t>Operation finish date (midnight)</t>
  </si>
  <si>
    <t>First modelling column financial year number</t>
  </si>
  <si>
    <t>Financial year end month number</t>
  </si>
  <si>
    <t>Model period</t>
  </si>
  <si>
    <t xml:space="preserve">Model Column Counter </t>
  </si>
  <si>
    <t>Model column counter</t>
  </si>
  <si>
    <t>counter</t>
  </si>
  <si>
    <t>Model Column Total</t>
  </si>
  <si>
    <t>column</t>
  </si>
  <si>
    <t>First model column flag</t>
  </si>
  <si>
    <t>flag</t>
  </si>
  <si>
    <t>First model period BEG</t>
  </si>
  <si>
    <t>month</t>
  </si>
  <si>
    <t>Model Period BEG</t>
  </si>
  <si>
    <t>Model Period END</t>
  </si>
  <si>
    <t>less</t>
  </si>
  <si>
    <t>Days in Model Period</t>
  </si>
  <si>
    <t>days</t>
  </si>
  <si>
    <t>Pre forecast period</t>
  </si>
  <si>
    <t>Last Pre Forecast Flag</t>
  </si>
  <si>
    <t>Pre Forecast Period Flag</t>
  </si>
  <si>
    <t>Pre Forecast Period Total</t>
  </si>
  <si>
    <t>columns</t>
  </si>
  <si>
    <t>Acquisition / initial balance date flag</t>
  </si>
  <si>
    <t>Forecast period</t>
  </si>
  <si>
    <t>1st Forecast Period Flag</t>
  </si>
  <si>
    <t>Last Forecast Period Flag</t>
  </si>
  <si>
    <t>Forecast Period Flag</t>
  </si>
  <si>
    <t xml:space="preserve">Forecast Period Total </t>
  </si>
  <si>
    <t>Pre Forecast vs Forecast</t>
  </si>
  <si>
    <t>Last post-forecast modelled period flag</t>
  </si>
  <si>
    <t>Post Forecast modelled period flag</t>
  </si>
  <si>
    <t>Forecast &amp; Post Forecast modelled period flag</t>
  </si>
  <si>
    <t>Post forecast period</t>
  </si>
  <si>
    <t>1st Post Last Forecast Period Flag</t>
  </si>
  <si>
    <t>Post Forecast Period Flag</t>
  </si>
  <si>
    <t>Post Forecast Period Total</t>
  </si>
  <si>
    <t>Modelling period check</t>
  </si>
  <si>
    <t>Modelling Period Check</t>
  </si>
  <si>
    <t>check</t>
  </si>
  <si>
    <t>FINANCIAL YEAR</t>
  </si>
  <si>
    <t>Financial Year Ending</t>
  </si>
  <si>
    <t>year #</t>
  </si>
  <si>
    <t>Indexation</t>
  </si>
  <si>
    <t>Column greater than 2?</t>
  </si>
  <si>
    <t>November CPIH annual inflation figures</t>
  </si>
  <si>
    <t>November CPIH cumulative inflation factor</t>
  </si>
  <si>
    <t>Adjustment factor for 2017-18 to 2022-23 FYA CPIH</t>
  </si>
  <si>
    <t>Factor</t>
  </si>
  <si>
    <t>Abatements</t>
  </si>
  <si>
    <t>Sum of all payments to be applied this year</t>
  </si>
  <si>
    <t>Net payments to be applied this year (by price control)</t>
  </si>
  <si>
    <t>Net ODI payments to be applied this year - water resources</t>
  </si>
  <si>
    <t>Net ODI payments to be applied this year - water network plus</t>
  </si>
  <si>
    <t>Net ODI payments to be applied this year - wastewater network plus</t>
  </si>
  <si>
    <t>Net ODI payments to be applied this year - bioresources (sludge)</t>
  </si>
  <si>
    <t>Net ODI payments to be applied this year - residential retail</t>
  </si>
  <si>
    <t>Net ODI payments to be applied this year - business retail</t>
  </si>
  <si>
    <t>Net ODI payments to be applied this year - additional control 1</t>
  </si>
  <si>
    <t>Net ODI payments to be applied this year - additional control 2</t>
  </si>
  <si>
    <t>Unadjusted payments after abatements</t>
  </si>
  <si>
    <t>Unadjusted payments after abatements - water resources</t>
  </si>
  <si>
    <t>Unadjusted payments after abatements - water network plus</t>
  </si>
  <si>
    <t>Unadjusted payments after abatements - wastewater network plus</t>
  </si>
  <si>
    <t>Unadjusted payments after abatements - bioresources (sludge)</t>
  </si>
  <si>
    <t>Unadjusted payments after abatements - residential retail</t>
  </si>
  <si>
    <t>Unadjusted payments after abatements - business retail</t>
  </si>
  <si>
    <t>Unadjusted payments after abatements - additional control 1</t>
  </si>
  <si>
    <t>Unadjusted payments after abatements - additional control 2</t>
  </si>
  <si>
    <t>Deferrals</t>
  </si>
  <si>
    <t>Unadjusted payments after abatements and deferrals</t>
  </si>
  <si>
    <t>Unadjusted payments after abatements and deferrals - water resources</t>
  </si>
  <si>
    <t>Unadjusted payments after abatements and deferrals - water network plus</t>
  </si>
  <si>
    <t>Unadjusted payments after abatements and deferrals - wastewater network plus</t>
  </si>
  <si>
    <t>Unadjusted payments after abatements and deferrals - bioresources (sludge)</t>
  </si>
  <si>
    <t>Unadjusted payments after abatements and deferrals - residential retail</t>
  </si>
  <si>
    <t>Unadjusted payments after abatements and deferrals - business retail</t>
  </si>
  <si>
    <t>Unadjusted payments after abatements and deferrals - additional control 1</t>
  </si>
  <si>
    <t>Unadjusted payments after abatements and deferrals - additional control 2</t>
  </si>
  <si>
    <t>Time value of money adjustment</t>
  </si>
  <si>
    <t>Variables</t>
  </si>
  <si>
    <t>Deferred payments for next reconciliation year (wholesale controls)</t>
  </si>
  <si>
    <t>Deferred payments for next reconciliation year - water resources</t>
  </si>
  <si>
    <t>Deferred payments for next reconciliation year - water network plus</t>
  </si>
  <si>
    <t>Deferred payments for next reconciliation year - wastewater network plus</t>
  </si>
  <si>
    <t>Deferred payments for next reconciliation year - bioresources (sludge)</t>
  </si>
  <si>
    <t>Deferred payments for next reconciliation year - additional control 1</t>
  </si>
  <si>
    <t>Deferred payments for next reconciliation year - additional control 2</t>
  </si>
  <si>
    <t>Deferred payments for next reconciliation year (retail controls)</t>
  </si>
  <si>
    <t>Deferred payments for next reconciliation year - residential retail</t>
  </si>
  <si>
    <t>Deferred payments for next reconciliation year - business retail</t>
  </si>
  <si>
    <t>Deferred payments for next reconciliation year</t>
  </si>
  <si>
    <t>Deferred payments for next reconciliation year - total</t>
  </si>
  <si>
    <t>£m (2017-18 FYA CPIH prices)</t>
  </si>
  <si>
    <t>Other bespoke adjustments</t>
  </si>
  <si>
    <t>Other bespoke adjustments (2017-18 FYA CPIH prices)</t>
  </si>
  <si>
    <t>Payments after abatements and deferrals and other bespoke adjustments (2017-18 FYA CPIH prices)</t>
  </si>
  <si>
    <t>Payments after abatements and deferrals and other bespoke adjustments - water resources</t>
  </si>
  <si>
    <t>Payments after abatements and deferrals and other bespoke adjustments - water network plus</t>
  </si>
  <si>
    <t>Payments after abatements and deferrals and other bespoke adjustments - wastewater network plus</t>
  </si>
  <si>
    <t>Payments after abatements and deferrals and other bespoke adjustments - bioresources (sludge)</t>
  </si>
  <si>
    <t>Payments after abatements and deferrals and other bespoke adjustments - residential retail</t>
  </si>
  <si>
    <t>Payments after abatements and deferrals and other bespoke adjustments - business retail</t>
  </si>
  <si>
    <t>Payments after abatements and deferrals and other bespoke adjustments - additional control 1</t>
  </si>
  <si>
    <t>Payments after abatements and deferrals and other bespoke adjustments - additional control 2</t>
  </si>
  <si>
    <t>Payments to be applied this reporting year after abatements and deferrals and other bespoke adjustments</t>
  </si>
  <si>
    <t>Payments after abatements and deferrals and other bespoke adjustments - total</t>
  </si>
  <si>
    <t>ODI payments after abatements and deferrals</t>
  </si>
  <si>
    <t>Timing</t>
  </si>
  <si>
    <t>Reporting year as financial year ending</t>
  </si>
  <si>
    <t>Year of performance</t>
  </si>
  <si>
    <t>Year of adjustment to be applied</t>
  </si>
  <si>
    <t>Revenue adjustments</t>
  </si>
  <si>
    <t>K factors (last determined)</t>
  </si>
  <si>
    <t>Allowed revenue</t>
  </si>
  <si>
    <t>Inflation adjustment</t>
  </si>
  <si>
    <t>ODI value nominal prices</t>
  </si>
  <si>
    <t>Tax adjustment</t>
  </si>
  <si>
    <t>Tax on Tax geometric uplift</t>
  </si>
  <si>
    <t>Tax on nominal ODI</t>
  </si>
  <si>
    <t xml:space="preserve">Total value of ODI </t>
  </si>
  <si>
    <t>Revised total nominal revenue</t>
  </si>
  <si>
    <t>Revised K</t>
  </si>
  <si>
    <t>Allowed revenue percentage movement</t>
  </si>
  <si>
    <t>Year that price limits should be recalculated</t>
  </si>
  <si>
    <t>Allowed revenue percentage movement (Nov-Nov CPIH deflated)</t>
  </si>
  <si>
    <t>Revised K - water resources</t>
  </si>
  <si>
    <t>Revised K - water network plus</t>
  </si>
  <si>
    <t>Revised K - wastewater network plus</t>
  </si>
  <si>
    <t>Deflating</t>
  </si>
  <si>
    <t>Setting the revised unadjusted revenue</t>
  </si>
  <si>
    <t>Revised unadjusted revenue (URt) 2017-18 prices</t>
  </si>
  <si>
    <t>Revised unadjusted revenue (URt)</t>
  </si>
  <si>
    <t xml:space="preserve">Total value of ODI per customer </t>
  </si>
  <si>
    <t>£ nominal</t>
  </si>
  <si>
    <t>Revised total revenue</t>
  </si>
  <si>
    <t>Value of ODI - tariff band 1</t>
  </si>
  <si>
    <t>Value of ODI - tariff band 2</t>
  </si>
  <si>
    <t>ODI per customer tariff 1</t>
  </si>
  <si>
    <t>ODI per customer tariff 2</t>
  </si>
  <si>
    <t>Revised retail cost component</t>
  </si>
  <si>
    <t>Revised retail cost per customer inc Margin, DPC &amp; business retail revenue adjustment - nominal (1) [Wastewater supplies (m) - tariff band 2]</t>
  </si>
  <si>
    <t>Revised K - additional control 1</t>
  </si>
  <si>
    <t>Revised K - additional control 2</t>
  </si>
  <si>
    <t>Application of ODI payments</t>
  </si>
  <si>
    <t>K-based controls</t>
  </si>
  <si>
    <t>ODI payments deferred until next reconciliation year</t>
  </si>
  <si>
    <t>Year of deferral to be applied</t>
  </si>
  <si>
    <t>IPD04_OUT</t>
  </si>
  <si>
    <t>C_DEF_WR_IPD04_OUT</t>
  </si>
  <si>
    <t>ODI payments deferred until next reporting year - Water resources</t>
  </si>
  <si>
    <t>C_DEF_WNP_IPD04_OUT</t>
  </si>
  <si>
    <t>ODI payments deferred until next reporting year - Water network plus</t>
  </si>
  <si>
    <t>C_DEF_WWNP_IPD04_OUT</t>
  </si>
  <si>
    <t>ODI payments deferred until next reporting year - Wastewater network plus</t>
  </si>
  <si>
    <t>C_DEF_BIO_IPD04_OUT</t>
  </si>
  <si>
    <t>ODI payments deferred until next reporting year - Bioresources (sludge)</t>
  </si>
  <si>
    <t>C_DEF_RR_IPD04_OUT</t>
  </si>
  <si>
    <t>ODI payments deferred until next reporting year - Residential retail</t>
  </si>
  <si>
    <t>C_DEF_BR_IPD04_OUT</t>
  </si>
  <si>
    <t>ODI payments deferred until next reporting year - Business retail</t>
  </si>
  <si>
    <t>C_DEF_ADDN1_IPD04_OUT</t>
  </si>
  <si>
    <t>ODI payments deferred until next reporting year - Additional control 1</t>
  </si>
  <si>
    <t>C_DEF_ADDN2_IPD04_OUT</t>
  </si>
  <si>
    <t>ODI payments deferred until next reporting year - Additional control 2</t>
  </si>
  <si>
    <t>C_DEF_TOTAL_IPD04_OUT</t>
  </si>
  <si>
    <t>ODI payments deferred until next reporting year - Total</t>
  </si>
  <si>
    <t>C_001_IPD04_OUT</t>
  </si>
  <si>
    <t>Allowed nominal revenue (last determined K) - Water resources</t>
  </si>
  <si>
    <t>C_002_IPD04_OUT</t>
  </si>
  <si>
    <t>Revised total nominal revenue (revised K) - Water resources</t>
  </si>
  <si>
    <t>C_003_IPD04_OUT</t>
  </si>
  <si>
    <t>Allowed nominal revenue (last determined K) - Water network plus</t>
  </si>
  <si>
    <t>C_004_IPD04_OUT</t>
  </si>
  <si>
    <t>Revised total nominal revenue (revised K) - Water network plus</t>
  </si>
  <si>
    <t>C_005_IPD04_OUT</t>
  </si>
  <si>
    <t>Allowed nominal revenue (last determined K) - Wastewater network plus</t>
  </si>
  <si>
    <t>C_006_IPD04_OUT</t>
  </si>
  <si>
    <t>Revised total nominal revenue (revised K) - Wastewater network plus</t>
  </si>
  <si>
    <t>C_007_IPD04_OUT</t>
  </si>
  <si>
    <t>Allowed nominal revenue (last determined K) - Additional control 1</t>
  </si>
  <si>
    <t>C_008_IPD04_OUT</t>
  </si>
  <si>
    <t>Revised total nominal revenue (revised K) - Additional control 1</t>
  </si>
  <si>
    <t>C_007a_IPD04_OUT</t>
  </si>
  <si>
    <t>Allowed nominal revenue (last determined K) - Additional control 2</t>
  </si>
  <si>
    <t>C_008a_IPD04_OUT</t>
  </si>
  <si>
    <t>Revised total nominal revenue (revised K) - Additional control 2</t>
  </si>
  <si>
    <t>QA_IPD04_OUT_1</t>
  </si>
  <si>
    <t>Date &amp; Time for Model IPD04 In Period Adjustment</t>
  </si>
  <si>
    <t>QA_IPD04_OUT_2</t>
  </si>
  <si>
    <t>Name &amp; Path of Model IPD04 In Period Adjustment</t>
  </si>
  <si>
    <t>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</si>
</sst>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_(* #,##0.00_);_(* \(#,##0.00\);_(* &quot;-&quot;??_);_(@_)"/>
    <numFmt numFmtId="165" formatCode="#,##0_);\(#,##0\);&quot;-  &quot;;&quot; &quot;@&quot; &quot;"/>
    <numFmt numFmtId="166" formatCode="_(* #,##0.0_);_(* \(#,##0.0\);_(* &quot;-&quot;??_);_(@_)"/>
    <numFmt numFmtId="167" formatCode="#,##0_);\(#,##0\);&quot;-  &quot;;&quot; &quot;@"/>
    <numFmt numFmtId="168" formatCode="dd\ mmm\ yyyy_);;&quot;-  &quot;;&quot; &quot;@&quot; &quot;"/>
    <numFmt numFmtId="169" formatCode="dd\ mmm\ yy_);;&quot;-  &quot;;&quot; &quot;@&quot; &quot;"/>
    <numFmt numFmtId="170" formatCode="#,##0.0000_);\(#,##0.0000\);&quot;-  &quot;;&quot; &quot;@&quot; &quot;"/>
    <numFmt numFmtId="171" formatCode="_(* #,##0_);_(* \(#,##0\);_(* &quot;-&quot;??_);_(@_)"/>
    <numFmt numFmtId="172" formatCode="_(* #,##0.0000_);_(* \(#,##0.0000\);_(* &quot;-&quot;??_);_(@_)"/>
    <numFmt numFmtId="173" formatCode="#,##0.0_);\(#,##0.0\);&quot;-  &quot;;&quot; &quot;@"/>
    <numFmt numFmtId="174" formatCode="#,##0.0_);\(#,##0.0\);&quot;-  &quot;;&quot; &quot;@&quot; &quot;"/>
    <numFmt numFmtId="175" formatCode="0.000"/>
    <numFmt numFmtId="176" formatCode="0.00%_);\-0.00%_);&quot;-  &quot;;&quot; &quot;@&quot; &quot;"/>
    <numFmt numFmtId="177" formatCode="dd\ mmm\ yyyy_);\(###0\);&quot;-  &quot;;&quot; &quot;@&quot; &quot;"/>
    <numFmt numFmtId="178" formatCode="dd\ mmm\ yy_);\(###0\);&quot;-  &quot;;&quot; &quot;@&quot; &quot;"/>
    <numFmt numFmtId="179" formatCode="###0_);\(###0\);&quot;-  &quot;;&quot; &quot;@&quot; &quot;"/>
    <numFmt numFmtId="180" formatCode="#,##0.00_);\(#,##0.00\);&quot;-  &quot;;&quot; &quot;@&quot; &quot;"/>
    <numFmt numFmtId="181" formatCode="#,##0.000_);\(#,##0.000\);&quot;-  &quot;;&quot; &quot;@&quot; &quot;"/>
    <numFmt numFmtId="182" formatCode="#,##0.000000_);\(#,##0.000000\);&quot;-  &quot;;&quot; &quot;@&quot; &quot;"/>
    <numFmt numFmtId="183" formatCode="#,##0.000"/>
    <numFmt numFmtId="184" formatCode="#,##0.000000"/>
    <numFmt numFmtId="185" formatCode="0.000000"/>
    <numFmt numFmtId="186" formatCode="0.0000%_);\-0.0000%_);&quot;-  &quot;;&quot; &quot;@&quot; &quot;"/>
    <numFmt numFmtId="187" formatCode="0.00000"/>
    <numFmt numFmtId="188" formatCode="0.000%_);\-0.000%_);&quot;-  &quot;;&quot; &quot;@&quot; &quot;"/>
    <numFmt numFmtId="189" formatCode="_(* #,##0.000_);_(* \(#,##0.000\);_(* &quot;-&quot;??_);_(@_)"/>
  </numFmts>
  <fonts count="78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Krub SemiBold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6"/>
      <color rgb="FF002664"/>
      <name val="Arial Rounded MT Bold"/>
      <family val="2"/>
    </font>
    <font>
      <sz val="14"/>
      <color rgb="FF002664"/>
      <name val="Arial Rounded MT Bold"/>
      <family val="2"/>
    </font>
    <font>
      <sz val="12"/>
      <color rgb="FF002664"/>
      <name val="Arial Rounded MT Bold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sz val="10"/>
      <color rgb="FF0000FF"/>
      <name val="Arial"/>
      <family val="2"/>
    </font>
    <font>
      <b/>
      <sz val="10"/>
      <color indexed="10"/>
      <name val="Arial"/>
      <family val="2"/>
    </font>
    <font>
      <i/>
      <sz val="10"/>
      <color rgb="FF00B050"/>
      <name val="Arial"/>
      <family val="2"/>
    </font>
    <font>
      <u/>
      <sz val="10"/>
      <color indexed="10"/>
      <name val="Arial"/>
      <family val="2"/>
    </font>
    <font>
      <i/>
      <sz val="10"/>
      <color indexed="10"/>
      <name val="Arial"/>
      <family val="2"/>
    </font>
    <font>
      <u/>
      <sz val="10"/>
      <color rgb="FF0000FF"/>
      <name val="Arial"/>
      <family val="2"/>
    </font>
    <font>
      <u/>
      <sz val="10"/>
      <color indexed="53"/>
      <name val="Arial"/>
      <family val="2"/>
    </font>
    <font>
      <sz val="10"/>
      <color indexed="53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22"/>
      <color theme="0"/>
      <name val="Krub SemiBold"/>
      <family val="2"/>
      <scheme val="major"/>
    </font>
    <font>
      <sz val="22"/>
      <name val="Krub SemiBold"/>
      <family val="2"/>
      <scheme val="major"/>
    </font>
    <font>
      <sz val="10"/>
      <color rgb="FF0078C9"/>
      <name val="Krub"/>
      <family val="2"/>
      <scheme val="minor"/>
    </font>
    <font>
      <sz val="10"/>
      <name val="Krub"/>
      <family val="2"/>
      <scheme val="minor"/>
    </font>
    <font>
      <i/>
      <sz val="10"/>
      <color theme="1"/>
      <name val="Arial"/>
      <family val="2"/>
    </font>
    <font>
      <sz val="22"/>
      <color theme="1"/>
      <name val="Franklin Gothic Demi"/>
      <family val="2"/>
    </font>
    <font>
      <sz val="22"/>
      <color theme="0"/>
      <name val="Franklin Gothic Demi"/>
      <family val="2"/>
    </font>
    <font>
      <u/>
      <sz val="10"/>
      <color rgb="FFFF0000"/>
      <name val="Arial"/>
      <family val="2"/>
    </font>
    <font>
      <b/>
      <u/>
      <sz val="10"/>
      <color rgb="FF0000FF"/>
      <name val="Arial"/>
      <family val="2"/>
    </font>
    <font>
      <i/>
      <sz val="22"/>
      <color rgb="FF00B050"/>
      <name val="Krub SemiBold"/>
      <family val="2"/>
      <scheme val="major"/>
    </font>
    <font>
      <sz val="22"/>
      <color theme="1"/>
      <name val="Krub SemiBold"/>
      <family val="2"/>
      <scheme val="major"/>
    </font>
    <font>
      <u/>
      <sz val="22"/>
      <name val="Krub SemiBold"/>
      <family val="2"/>
      <scheme val="major"/>
    </font>
    <font>
      <b/>
      <u/>
      <sz val="10"/>
      <color rgb="FFFF0000"/>
      <name val="Arial"/>
      <family val="2"/>
    </font>
    <font>
      <b/>
      <u/>
      <sz val="22"/>
      <name val="Krub SemiBold"/>
      <family val="2"/>
      <scheme val="major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24"/>
      <color theme="0"/>
      <name val="Franklin Gothic Demi"/>
      <family val="2"/>
    </font>
    <font>
      <sz val="12"/>
      <color theme="0"/>
      <name val="Franklin Gothic Demi"/>
      <family val="2"/>
    </font>
    <font>
      <u/>
      <sz val="10"/>
      <color theme="10"/>
      <name val="Arial"/>
      <family val="2"/>
    </font>
    <font>
      <sz val="11"/>
      <color theme="1"/>
      <name val="Franklin Gothic Demi"/>
      <family val="2"/>
    </font>
    <font>
      <sz val="10"/>
      <color theme="0"/>
      <name val="Franklin Gothic Demi"/>
      <family val="2"/>
    </font>
    <font>
      <sz val="10"/>
      <color theme="1"/>
      <name val="Franklin Gothic Demi"/>
      <family val="2"/>
    </font>
    <font>
      <sz val="10"/>
      <color rgb="FF0078C9"/>
      <name val="Arial"/>
      <family val="2"/>
    </font>
    <font>
      <sz val="10"/>
      <color rgb="FFFE4819"/>
      <name val="Arial"/>
      <family val="2"/>
    </font>
    <font>
      <sz val="10"/>
      <color rgb="FF719500"/>
      <name val="Arial"/>
      <family val="2"/>
    </font>
    <font>
      <sz val="10"/>
      <color rgb="FF0078C9"/>
      <name val="Franklin Gothic Demi"/>
      <family val="2"/>
    </font>
    <font>
      <sz val="10"/>
      <color theme="2"/>
      <name val="Arial"/>
      <family val="2"/>
    </font>
    <font>
      <b/>
      <sz val="10"/>
      <color rgb="FFFF0000"/>
      <name val="Arial"/>
      <family val="2"/>
    </font>
    <font>
      <sz val="11"/>
      <color indexed="8"/>
      <name val="Krub"/>
      <family val="2"/>
      <scheme val="minor"/>
    </font>
    <font>
      <sz val="11"/>
      <color rgb="FF0078C9"/>
      <name val="Franklin Gothic Demi"/>
      <family val="2"/>
    </font>
    <font>
      <sz val="11"/>
      <color theme="1"/>
      <name val="Calibri"/>
      <family val="2"/>
    </font>
    <font>
      <u/>
      <sz val="12"/>
      <color theme="0"/>
      <name val="Franklin Gothic Dem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sz val="8"/>
      <name val="Arial"/>
      <family val="2"/>
    </font>
    <font>
      <sz val="10"/>
      <color theme="4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7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664"/>
        <bgColor indexed="64"/>
      </patternFill>
    </fill>
    <fill>
      <patternFill patternType="solid">
        <fgColor rgb="FF4B92DB"/>
        <bgColor indexed="64"/>
      </patternFill>
    </fill>
    <fill>
      <patternFill patternType="solid">
        <fgColor rgb="FFADA07A"/>
        <bgColor indexed="64"/>
      </patternFill>
    </fill>
    <fill>
      <patternFill patternType="solid">
        <fgColor rgb="FFF0AB00"/>
        <bgColor indexed="64"/>
      </patternFill>
    </fill>
    <fill>
      <patternFill patternType="solid">
        <fgColor rgb="FF007EA3"/>
        <bgColor indexed="64"/>
      </patternFill>
    </fill>
    <fill>
      <patternFill patternType="solid">
        <fgColor rgb="FFA8B400"/>
        <bgColor indexed="64"/>
      </patternFill>
    </fill>
    <fill>
      <patternFill patternType="solid">
        <fgColor rgb="FF240078"/>
        <bgColor indexed="64"/>
      </patternFill>
    </fill>
    <fill>
      <patternFill patternType="solid">
        <fgColor rgb="FFEA3BAE"/>
        <bgColor indexed="64"/>
      </patternFill>
    </fill>
    <fill>
      <patternFill patternType="solid">
        <fgColor rgb="FFDD3D2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0DCD8"/>
        <bgColor indexed="64"/>
      </patternFill>
    </fill>
    <fill>
      <patternFill patternType="solid">
        <fgColor rgb="FFFCEAB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DDF1"/>
        <bgColor indexed="64"/>
      </patternFill>
    </fill>
    <fill>
      <patternFill patternType="solid">
        <fgColor rgb="FFF0EEEC"/>
        <bgColor indexed="64"/>
      </patternFill>
    </fill>
    <fill>
      <patternFill patternType="solid">
        <fgColor rgb="FF003479"/>
        <bgColor indexed="64"/>
      </patternFill>
    </fill>
    <fill>
      <patternFill patternType="solid">
        <fgColor rgb="FFD740A2"/>
        <bgColor indexed="64"/>
      </patternFill>
    </fill>
    <fill>
      <patternFill patternType="solid">
        <fgColor rgb="FF7FBB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5B04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8573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lightDown">
        <bgColor theme="6" tint="0.79998168889431442"/>
      </patternFill>
    </fill>
    <fill>
      <patternFill patternType="solid">
        <fgColor theme="6" tint="0.79995117038483843"/>
        <bgColor indexed="64"/>
      </patternFill>
    </fill>
    <fill>
      <patternFill patternType="lightDown">
        <bgColor theme="6" tint="0.79995117038483843"/>
      </patternFill>
    </fill>
    <fill>
      <patternFill patternType="lightDown">
        <bgColor theme="6" tint="0.79992065187536243"/>
      </patternFill>
    </fill>
    <fill>
      <patternFill patternType="lightDown">
        <bgColor theme="6" tint="0.79989013336588644"/>
      </patternFill>
    </fill>
    <fill>
      <patternFill patternType="solid">
        <fgColor rgb="FFFFEFCA"/>
        <bgColor indexed="64"/>
      </patternFill>
    </fill>
    <fill>
      <patternFill patternType="lightDown">
        <bgColor rgb="FFFFEFCA"/>
      </patternFill>
    </fill>
    <fill>
      <patternFill patternType="solid">
        <fgColor rgb="FFCA0083"/>
        <bgColor indexed="64"/>
      </patternFill>
    </fill>
    <fill>
      <patternFill patternType="lightDown">
        <bgColor rgb="FFFFF0D0"/>
      </patternFill>
    </fill>
    <fill>
      <patternFill patternType="lightDown">
        <bgColor theme="0"/>
      </patternFill>
    </fill>
    <fill>
      <patternFill patternType="lightDown">
        <bgColor auto="1"/>
      </patternFill>
    </fill>
    <fill>
      <patternFill patternType="lightDown">
        <bgColor rgb="FFFCEABF"/>
      </patternFill>
    </fill>
    <fill>
      <patternFill patternType="solid">
        <fgColor rgb="FFFFF0D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auto="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57362"/>
      </left>
      <right style="thin">
        <color rgb="FF857362"/>
      </right>
      <top style="thin">
        <color rgb="FF857362"/>
      </top>
      <bottom style="thin">
        <color rgb="FF857362"/>
      </bottom>
      <diagonal/>
    </border>
    <border>
      <left/>
      <right/>
      <top style="thin">
        <color rgb="FF8573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49689"/>
      </left>
      <right style="thin">
        <color rgb="FFA49689"/>
      </right>
      <top style="thin">
        <color rgb="FFA49689"/>
      </top>
      <bottom style="thin">
        <color rgb="FFA49689"/>
      </bottom>
      <diagonal/>
    </border>
    <border>
      <left/>
      <right style="thin">
        <color rgb="FF857362"/>
      </right>
      <top style="thin">
        <color rgb="FF857362"/>
      </top>
      <bottom/>
      <diagonal/>
    </border>
    <border>
      <left/>
      <right style="thin">
        <color rgb="FF857362"/>
      </right>
      <top/>
      <bottom/>
      <diagonal/>
    </border>
  </borders>
  <cellStyleXfs count="100">
    <xf numFmtId="165" fontId="0" fillId="0" borderId="0" applyFont="0" applyFill="0" applyBorder="0" applyProtection="0">
      <alignment vertical="top"/>
    </xf>
    <xf numFmtId="164" fontId="1" fillId="0" borderId="0" applyFont="0" applyFill="0" applyBorder="0" applyAlignment="0" applyProtection="0"/>
    <xf numFmtId="176" fontId="1" fillId="0" borderId="0" applyFont="0" applyFill="0" applyBorder="0" applyProtection="0">
      <alignment vertical="top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3" fillId="45" borderId="0" applyNumberFormat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39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166" fontId="1" fillId="42" borderId="0" applyNumberFormat="0" applyFont="0" applyBorder="0" applyAlignment="0" applyProtection="0"/>
    <xf numFmtId="0" fontId="1" fillId="43" borderId="0" applyNumberFormat="0" applyFont="0" applyBorder="0" applyAlignment="0" applyProtection="0"/>
    <xf numFmtId="167" fontId="24" fillId="0" borderId="0" applyNumberFormat="0" applyProtection="0">
      <alignment vertical="top"/>
    </xf>
    <xf numFmtId="167" fontId="25" fillId="0" borderId="0" applyNumberFormat="0" applyProtection="0">
      <alignment vertical="top"/>
    </xf>
    <xf numFmtId="167" fontId="18" fillId="44" borderId="0" applyNumberFormat="0" applyProtection="0">
      <alignment vertical="top"/>
    </xf>
    <xf numFmtId="9" fontId="1" fillId="0" borderId="0" applyFont="0" applyFill="0" applyBorder="0" applyAlignment="0" applyProtection="0"/>
    <xf numFmtId="0" fontId="29" fillId="0" borderId="0" applyNumberFormat="0" applyFill="0" applyBorder="0" applyProtection="0">
      <alignment vertical="top"/>
    </xf>
    <xf numFmtId="177" fontId="18" fillId="0" borderId="0" applyFont="0" applyFill="0" applyBorder="0" applyProtection="0">
      <alignment vertical="top"/>
    </xf>
    <xf numFmtId="178" fontId="18" fillId="0" borderId="0" applyFont="0" applyFill="0" applyBorder="0" applyProtection="0">
      <alignment vertical="top"/>
    </xf>
    <xf numFmtId="170" fontId="18" fillId="0" borderId="0" applyFont="0" applyFill="0" applyBorder="0" applyProtection="0">
      <alignment vertical="top"/>
    </xf>
    <xf numFmtId="0" fontId="19" fillId="0" borderId="0"/>
    <xf numFmtId="0" fontId="20" fillId="0" borderId="0"/>
    <xf numFmtId="0" fontId="21" fillId="0" borderId="0"/>
    <xf numFmtId="169" fontId="22" fillId="0" borderId="0" applyNumberFormat="0" applyFill="0" applyBorder="0" applyProtection="0">
      <alignment vertical="top"/>
    </xf>
    <xf numFmtId="0" fontId="23" fillId="0" borderId="0" applyNumberFormat="0" applyFill="0" applyBorder="0" applyProtection="0">
      <alignment vertical="top"/>
    </xf>
    <xf numFmtId="0" fontId="18" fillId="0" borderId="0" applyNumberFormat="0" applyFill="0" applyBorder="0" applyProtection="0">
      <alignment horizontal="right" vertical="top"/>
    </xf>
    <xf numFmtId="0" fontId="35" fillId="0" borderId="0"/>
    <xf numFmtId="0" fontId="1" fillId="0" borderId="0"/>
    <xf numFmtId="0" fontId="53" fillId="0" borderId="0" applyNumberFormat="0" applyFill="0" applyBorder="0" applyAlignment="0" applyProtection="0"/>
    <xf numFmtId="179" fontId="54" fillId="0" borderId="0" applyFont="0" applyFill="0" applyBorder="0" applyProtection="0">
      <alignment vertical="top"/>
    </xf>
    <xf numFmtId="0" fontId="56" fillId="52" borderId="0" applyNumberFormat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Alignment="0" applyProtection="0"/>
    <xf numFmtId="0" fontId="60" fillId="53" borderId="0" applyNumberFormat="0" applyBorder="0" applyAlignment="0" applyProtection="0"/>
    <xf numFmtId="0" fontId="60" fillId="52" borderId="0" applyNumberFormat="0" applyAlignment="0" applyProtection="0"/>
    <xf numFmtId="0" fontId="63" fillId="0" borderId="0" applyNumberFormat="0" applyBorder="0" applyAlignment="0" applyProtection="0"/>
    <xf numFmtId="0" fontId="1" fillId="46" borderId="0" applyNumberFormat="0" applyBorder="0" applyAlignment="0" applyProtection="0"/>
    <xf numFmtId="0" fontId="62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46" borderId="0" applyNumberFormat="0" applyFont="0" applyBorder="0" applyAlignment="0" applyProtection="0"/>
    <xf numFmtId="0" fontId="65" fillId="50" borderId="0" applyNumberFormat="0" applyAlignment="0" applyProtection="0"/>
    <xf numFmtId="0" fontId="1" fillId="55" borderId="0" applyNumberFormat="0" applyBorder="0" applyAlignment="0" applyProtection="0"/>
    <xf numFmtId="165" fontId="1" fillId="0" borderId="0" applyFont="0" applyFill="0" applyBorder="0" applyProtection="0">
      <alignment vertical="top"/>
    </xf>
    <xf numFmtId="0" fontId="56" fillId="52" borderId="0" applyNumberFormat="0" applyBorder="0" applyAlignment="0" applyProtection="0"/>
    <xf numFmtId="0" fontId="59" fillId="0" borderId="0" applyNumberFormat="0" applyFill="0" applyAlignment="0" applyProtection="0"/>
    <xf numFmtId="0" fontId="61" fillId="0" borderId="0" applyNumberFormat="0" applyFill="0" applyAlignment="0" applyProtection="0"/>
    <xf numFmtId="0" fontId="62" fillId="0" borderId="0" applyNumberFormat="0" applyBorder="0" applyAlignment="0" applyProtection="0"/>
    <xf numFmtId="0" fontId="1" fillId="0" borderId="0" applyNumberFormat="0" applyBorder="0" applyAlignment="0" applyProtection="0"/>
    <xf numFmtId="0" fontId="64" fillId="0" borderId="0" applyNumberFormat="0" applyBorder="0" applyAlignment="0" applyProtection="0"/>
    <xf numFmtId="0" fontId="1" fillId="47" borderId="0" applyNumberFormat="0" applyAlignment="0" applyProtection="0"/>
    <xf numFmtId="0" fontId="68" fillId="0" borderId="0"/>
    <xf numFmtId="0" fontId="54" fillId="0" borderId="0"/>
    <xf numFmtId="165" fontId="54" fillId="0" borderId="0" applyFont="0" applyFill="0" applyBorder="0" applyProtection="0">
      <alignment vertical="top"/>
    </xf>
    <xf numFmtId="0" fontId="70" fillId="0" borderId="0"/>
    <xf numFmtId="0" fontId="54" fillId="0" borderId="0"/>
    <xf numFmtId="165" fontId="53" fillId="0" borderId="0" applyNumberFormat="0" applyFill="0" applyBorder="0" applyAlignment="0" applyProtection="0">
      <alignment vertical="top"/>
    </xf>
    <xf numFmtId="0" fontId="54" fillId="0" borderId="0"/>
  </cellStyleXfs>
  <cellXfs count="467">
    <xf numFmtId="165" fontId="0" fillId="0" borderId="0" xfId="0">
      <alignment vertical="top"/>
    </xf>
    <xf numFmtId="165" fontId="1" fillId="49" borderId="0" xfId="0" applyFont="1" applyFill="1" applyAlignment="1">
      <alignment vertical="center"/>
    </xf>
    <xf numFmtId="165" fontId="16" fillId="49" borderId="0" xfId="0" applyFont="1" applyFill="1" applyAlignment="1">
      <alignment vertical="center"/>
    </xf>
    <xf numFmtId="165" fontId="1" fillId="49" borderId="0" xfId="0" applyFont="1" applyFill="1">
      <alignment vertical="top"/>
    </xf>
    <xf numFmtId="165" fontId="41" fillId="46" borderId="10" xfId="0" applyFont="1" applyFill="1" applyBorder="1" applyAlignment="1">
      <alignment horizontal="left" vertical="center" wrapText="1"/>
    </xf>
    <xf numFmtId="165" fontId="42" fillId="51" borderId="10" xfId="0" applyFont="1" applyFill="1" applyBorder="1" applyAlignment="1">
      <alignment horizontal="left" vertical="center" wrapText="1"/>
    </xf>
    <xf numFmtId="165" fontId="18" fillId="49" borderId="0" xfId="0" applyFont="1" applyFill="1" applyAlignment="1">
      <alignment horizontal="left" vertical="center"/>
    </xf>
    <xf numFmtId="164" fontId="18" fillId="49" borderId="0" xfId="1" applyFont="1" applyFill="1" applyAlignment="1">
      <alignment vertical="top"/>
    </xf>
    <xf numFmtId="169" fontId="22" fillId="49" borderId="0" xfId="66" applyFill="1" applyBorder="1">
      <alignment vertical="top"/>
    </xf>
    <xf numFmtId="169" fontId="23" fillId="49" borderId="0" xfId="67" applyNumberFormat="1" applyFill="1" applyBorder="1">
      <alignment vertical="top"/>
    </xf>
    <xf numFmtId="169" fontId="29" fillId="49" borderId="0" xfId="67" applyNumberFormat="1" applyFont="1" applyFill="1" applyBorder="1">
      <alignment vertical="top"/>
    </xf>
    <xf numFmtId="169" fontId="18" fillId="49" borderId="0" xfId="68" applyNumberFormat="1" applyFill="1" applyBorder="1">
      <alignment horizontal="right" vertical="top"/>
    </xf>
    <xf numFmtId="164" fontId="18" fillId="49" borderId="0" xfId="1" applyFont="1" applyFill="1" applyBorder="1" applyAlignment="1">
      <alignment vertical="top"/>
    </xf>
    <xf numFmtId="178" fontId="18" fillId="49" borderId="0" xfId="61" applyFont="1" applyFill="1" applyBorder="1">
      <alignment vertical="top"/>
    </xf>
    <xf numFmtId="178" fontId="22" fillId="49" borderId="0" xfId="61" applyFont="1" applyFill="1" applyBorder="1">
      <alignment vertical="top"/>
    </xf>
    <xf numFmtId="0" fontId="22" fillId="49" borderId="0" xfId="66" applyNumberFormat="1" applyFill="1" applyBorder="1">
      <alignment vertical="top"/>
    </xf>
    <xf numFmtId="0" fontId="23" fillId="49" borderId="0" xfId="67" applyFill="1" applyBorder="1">
      <alignment vertical="top"/>
    </xf>
    <xf numFmtId="0" fontId="29" fillId="49" borderId="0" xfId="67" applyFont="1" applyFill="1" applyBorder="1">
      <alignment vertical="top"/>
    </xf>
    <xf numFmtId="0" fontId="18" fillId="49" borderId="0" xfId="68" applyFill="1" applyBorder="1">
      <alignment horizontal="right" vertical="top"/>
    </xf>
    <xf numFmtId="165" fontId="22" fillId="49" borderId="0" xfId="0" applyFont="1" applyFill="1" applyBorder="1">
      <alignment vertical="top"/>
    </xf>
    <xf numFmtId="0" fontId="22" fillId="49" borderId="0" xfId="66" applyNumberFormat="1" applyFill="1">
      <alignment vertical="top"/>
    </xf>
    <xf numFmtId="0" fontId="23" fillId="49" borderId="0" xfId="67" applyFill="1">
      <alignment vertical="top"/>
    </xf>
    <xf numFmtId="0" fontId="29" fillId="49" borderId="0" xfId="67" applyFont="1" applyFill="1">
      <alignment vertical="top"/>
    </xf>
    <xf numFmtId="0" fontId="18" fillId="49" borderId="0" xfId="68" applyFill="1">
      <alignment horizontal="right" vertical="top"/>
    </xf>
    <xf numFmtId="171" fontId="18" fillId="49" borderId="0" xfId="0" applyNumberFormat="1" applyFont="1" applyFill="1" applyBorder="1">
      <alignment vertical="top"/>
    </xf>
    <xf numFmtId="171" fontId="22" fillId="49" borderId="0" xfId="66" applyNumberFormat="1" applyFill="1" applyBorder="1">
      <alignment vertical="top"/>
    </xf>
    <xf numFmtId="171" fontId="23" fillId="49" borderId="0" xfId="67" applyNumberFormat="1" applyFill="1" applyBorder="1">
      <alignment vertical="top"/>
    </xf>
    <xf numFmtId="171" fontId="29" fillId="49" borderId="0" xfId="67" applyNumberFormat="1" applyFont="1" applyFill="1" applyBorder="1">
      <alignment vertical="top"/>
    </xf>
    <xf numFmtId="171" fontId="18" fillId="49" borderId="0" xfId="68" applyNumberFormat="1" applyFill="1" applyBorder="1">
      <alignment horizontal="right" vertical="top"/>
    </xf>
    <xf numFmtId="171" fontId="22" fillId="49" borderId="0" xfId="0" applyNumberFormat="1" applyFont="1" applyFill="1" applyBorder="1">
      <alignment vertical="top"/>
    </xf>
    <xf numFmtId="165" fontId="18" fillId="49" borderId="0" xfId="0" applyFont="1" applyFill="1">
      <alignment vertical="top"/>
    </xf>
    <xf numFmtId="164" fontId="1" fillId="49" borderId="0" xfId="1" applyFont="1" applyFill="1" applyBorder="1" applyAlignment="1">
      <alignment vertical="top"/>
    </xf>
    <xf numFmtId="165" fontId="1" fillId="49" borderId="0" xfId="0" applyFont="1" applyFill="1" applyBorder="1">
      <alignment vertical="top"/>
    </xf>
    <xf numFmtId="165" fontId="24" fillId="49" borderId="0" xfId="0" applyFont="1" applyFill="1" applyBorder="1">
      <alignment vertical="top"/>
    </xf>
    <xf numFmtId="174" fontId="22" fillId="49" borderId="0" xfId="66" applyNumberFormat="1" applyFill="1">
      <alignment vertical="top"/>
    </xf>
    <xf numFmtId="174" fontId="23" fillId="49" borderId="0" xfId="67" applyNumberFormat="1" applyFill="1">
      <alignment vertical="top"/>
    </xf>
    <xf numFmtId="174" fontId="29" fillId="49" borderId="0" xfId="67" applyNumberFormat="1" applyFont="1" applyFill="1">
      <alignment vertical="top"/>
    </xf>
    <xf numFmtId="174" fontId="18" fillId="49" borderId="0" xfId="68" applyNumberFormat="1" applyFill="1">
      <alignment horizontal="right" vertical="top"/>
    </xf>
    <xf numFmtId="174" fontId="18" fillId="49" borderId="0" xfId="62" applyNumberFormat="1" applyFont="1" applyFill="1">
      <alignment vertical="top"/>
    </xf>
    <xf numFmtId="173" fontId="22" fillId="49" borderId="0" xfId="66" applyNumberFormat="1" applyFill="1">
      <alignment vertical="top"/>
    </xf>
    <xf numFmtId="173" fontId="23" fillId="49" borderId="0" xfId="67" applyNumberFormat="1" applyFill="1">
      <alignment vertical="top"/>
    </xf>
    <xf numFmtId="173" fontId="29" fillId="49" borderId="0" xfId="67" applyNumberFormat="1" applyFont="1" applyFill="1">
      <alignment vertical="top"/>
    </xf>
    <xf numFmtId="173" fontId="18" fillId="49" borderId="0" xfId="68" applyNumberFormat="1" applyFill="1">
      <alignment horizontal="right" vertical="top"/>
    </xf>
    <xf numFmtId="173" fontId="18" fillId="49" borderId="0" xfId="0" applyNumberFormat="1" applyFont="1" applyFill="1">
      <alignment vertical="top"/>
    </xf>
    <xf numFmtId="168" fontId="22" fillId="49" borderId="0" xfId="66" applyNumberFormat="1" applyFill="1">
      <alignment vertical="top"/>
    </xf>
    <xf numFmtId="168" fontId="23" fillId="49" borderId="0" xfId="67" applyNumberFormat="1" applyFill="1">
      <alignment vertical="top"/>
    </xf>
    <xf numFmtId="168" fontId="29" fillId="49" borderId="0" xfId="67" applyNumberFormat="1" applyFont="1" applyFill="1">
      <alignment vertical="top"/>
    </xf>
    <xf numFmtId="168" fontId="18" fillId="49" borderId="0" xfId="68" applyNumberFormat="1" applyFill="1">
      <alignment horizontal="right" vertical="top"/>
    </xf>
    <xf numFmtId="164" fontId="24" fillId="49" borderId="0" xfId="1" applyFont="1" applyFill="1" applyAlignment="1">
      <alignment vertical="top"/>
    </xf>
    <xf numFmtId="177" fontId="24" fillId="49" borderId="0" xfId="60" applyFont="1" applyFill="1">
      <alignment vertical="top"/>
    </xf>
    <xf numFmtId="177" fontId="18" fillId="49" borderId="0" xfId="60" applyFont="1" applyFill="1">
      <alignment vertical="top"/>
    </xf>
    <xf numFmtId="169" fontId="22" fillId="49" borderId="0" xfId="66" applyFill="1">
      <alignment vertical="top"/>
    </xf>
    <xf numFmtId="169" fontId="23" fillId="49" borderId="0" xfId="67" applyNumberFormat="1" applyFill="1">
      <alignment vertical="top"/>
    </xf>
    <xf numFmtId="169" fontId="29" fillId="49" borderId="0" xfId="67" applyNumberFormat="1" applyFont="1" applyFill="1">
      <alignment vertical="top"/>
    </xf>
    <xf numFmtId="169" fontId="18" fillId="49" borderId="0" xfId="68" applyNumberFormat="1" applyFill="1">
      <alignment horizontal="right" vertical="top"/>
    </xf>
    <xf numFmtId="178" fontId="18" fillId="49" borderId="0" xfId="61" applyFont="1" applyFill="1">
      <alignment vertical="top"/>
    </xf>
    <xf numFmtId="164" fontId="14" fillId="49" borderId="0" xfId="1" applyFont="1" applyFill="1" applyAlignment="1">
      <alignment vertical="top"/>
    </xf>
    <xf numFmtId="165" fontId="14" fillId="49" borderId="0" xfId="0" applyFont="1" applyFill="1">
      <alignment vertical="top"/>
    </xf>
    <xf numFmtId="178" fontId="14" fillId="49" borderId="0" xfId="61" applyFont="1" applyFill="1">
      <alignment vertical="top"/>
    </xf>
    <xf numFmtId="172" fontId="22" fillId="49" borderId="0" xfId="66" applyNumberFormat="1" applyFill="1">
      <alignment vertical="top"/>
    </xf>
    <xf numFmtId="172" fontId="23" fillId="49" borderId="0" xfId="67" applyNumberFormat="1" applyFill="1">
      <alignment vertical="top"/>
    </xf>
    <xf numFmtId="172" fontId="29" fillId="49" borderId="0" xfId="67" applyNumberFormat="1" applyFont="1" applyFill="1">
      <alignment vertical="top"/>
    </xf>
    <xf numFmtId="172" fontId="18" fillId="49" borderId="0" xfId="68" applyNumberFormat="1" applyFill="1">
      <alignment horizontal="right" vertical="top"/>
    </xf>
    <xf numFmtId="172" fontId="18" fillId="49" borderId="0" xfId="0" applyNumberFormat="1" applyFont="1" applyFill="1">
      <alignment vertical="top"/>
    </xf>
    <xf numFmtId="171" fontId="18" fillId="49" borderId="0" xfId="0" applyNumberFormat="1" applyFont="1" applyFill="1">
      <alignment vertical="top"/>
    </xf>
    <xf numFmtId="164" fontId="1" fillId="49" borderId="0" xfId="1" applyFont="1" applyFill="1" applyAlignment="1">
      <alignment vertical="top"/>
    </xf>
    <xf numFmtId="178" fontId="1" fillId="49" borderId="0" xfId="61" applyFont="1" applyFill="1">
      <alignment vertical="top"/>
    </xf>
    <xf numFmtId="164" fontId="25" fillId="49" borderId="0" xfId="1" applyFont="1" applyFill="1" applyAlignment="1">
      <alignment vertical="top"/>
    </xf>
    <xf numFmtId="165" fontId="25" fillId="49" borderId="0" xfId="0" applyFont="1" applyFill="1">
      <alignment vertical="top"/>
    </xf>
    <xf numFmtId="0" fontId="28" fillId="49" borderId="0" xfId="66" applyNumberFormat="1" applyFont="1" applyFill="1">
      <alignment vertical="top"/>
    </xf>
    <xf numFmtId="0" fontId="30" fillId="49" borderId="0" xfId="67" applyFont="1" applyFill="1">
      <alignment vertical="top"/>
    </xf>
    <xf numFmtId="0" fontId="31" fillId="49" borderId="0" xfId="67" applyFont="1" applyFill="1">
      <alignment vertical="top"/>
    </xf>
    <xf numFmtId="0" fontId="25" fillId="49" borderId="0" xfId="68" applyFont="1" applyFill="1">
      <alignment horizontal="right" vertical="top"/>
    </xf>
    <xf numFmtId="165" fontId="18" fillId="49" borderId="0" xfId="0" applyFont="1" applyFill="1" applyAlignment="1">
      <alignment horizontal="right" vertical="top"/>
    </xf>
    <xf numFmtId="165" fontId="22" fillId="49" borderId="0" xfId="66" applyNumberFormat="1" applyFill="1">
      <alignment vertical="top"/>
    </xf>
    <xf numFmtId="0" fontId="27" fillId="49" borderId="0" xfId="0" applyNumberFormat="1" applyFont="1" applyFill="1">
      <alignment vertical="top"/>
    </xf>
    <xf numFmtId="165" fontId="1" fillId="49" borderId="0" xfId="0" applyFont="1" applyFill="1" applyAlignment="1">
      <alignment horizontal="left" vertical="center"/>
    </xf>
    <xf numFmtId="0" fontId="18" fillId="49" borderId="0" xfId="66" applyNumberFormat="1" applyFont="1" applyFill="1" applyAlignment="1">
      <alignment vertical="center"/>
    </xf>
    <xf numFmtId="0" fontId="18" fillId="49" borderId="0" xfId="0" applyNumberFormat="1" applyFont="1" applyFill="1" applyAlignment="1">
      <alignment vertical="center"/>
    </xf>
    <xf numFmtId="0" fontId="18" fillId="49" borderId="0" xfId="0" applyNumberFormat="1" applyFont="1" applyFill="1" applyAlignment="1">
      <alignment horizontal="right" vertical="center"/>
    </xf>
    <xf numFmtId="165" fontId="18" fillId="49" borderId="0" xfId="0" applyFont="1" applyFill="1" applyAlignment="1">
      <alignment vertical="center"/>
    </xf>
    <xf numFmtId="175" fontId="18" fillId="49" borderId="0" xfId="0" applyNumberFormat="1" applyFont="1" applyFill="1" applyAlignment="1">
      <alignment vertical="center"/>
    </xf>
    <xf numFmtId="165" fontId="14" fillId="49" borderId="0" xfId="0" applyFont="1" applyFill="1" applyAlignment="1">
      <alignment vertical="center"/>
    </xf>
    <xf numFmtId="0" fontId="27" fillId="49" borderId="0" xfId="0" applyNumberFormat="1" applyFont="1" applyFill="1" applyAlignment="1">
      <alignment vertical="center"/>
    </xf>
    <xf numFmtId="165" fontId="44" fillId="49" borderId="0" xfId="0" applyFont="1" applyFill="1" applyAlignment="1">
      <alignment horizontal="left" vertical="center"/>
    </xf>
    <xf numFmtId="0" fontId="27" fillId="49" borderId="0" xfId="1" applyNumberFormat="1" applyFont="1" applyFill="1" applyAlignment="1">
      <alignment vertical="top"/>
    </xf>
    <xf numFmtId="165" fontId="27" fillId="49" borderId="0" xfId="0" applyFont="1" applyFill="1">
      <alignment vertical="top"/>
    </xf>
    <xf numFmtId="176" fontId="1" fillId="49" borderId="0" xfId="2" applyFont="1" applyFill="1">
      <alignment vertical="top"/>
    </xf>
    <xf numFmtId="0" fontId="18" fillId="49" borderId="0" xfId="0" applyNumberFormat="1" applyFont="1" applyFill="1">
      <alignment vertical="top"/>
    </xf>
    <xf numFmtId="175" fontId="18" fillId="49" borderId="0" xfId="1" applyNumberFormat="1" applyFont="1" applyFill="1" applyAlignment="1">
      <alignment vertical="top"/>
    </xf>
    <xf numFmtId="175" fontId="18" fillId="49" borderId="0" xfId="1" applyNumberFormat="1" applyFont="1" applyFill="1" applyBorder="1" applyAlignment="1">
      <alignment vertical="top"/>
    </xf>
    <xf numFmtId="0" fontId="18" fillId="49" borderId="0" xfId="1" applyNumberFormat="1" applyFont="1" applyFill="1" applyAlignment="1">
      <alignment vertical="top"/>
    </xf>
    <xf numFmtId="0" fontId="32" fillId="49" borderId="0" xfId="67" applyNumberFormat="1" applyFont="1" applyFill="1">
      <alignment vertical="top"/>
    </xf>
    <xf numFmtId="0" fontId="47" fillId="49" borderId="0" xfId="67" applyNumberFormat="1" applyFont="1" applyFill="1">
      <alignment vertical="top"/>
    </xf>
    <xf numFmtId="0" fontId="27" fillId="49" borderId="0" xfId="68" applyNumberFormat="1" applyFont="1" applyFill="1">
      <alignment horizontal="right" vertical="top"/>
    </xf>
    <xf numFmtId="176" fontId="18" fillId="49" borderId="0" xfId="2" applyFont="1" applyFill="1">
      <alignment vertical="top"/>
    </xf>
    <xf numFmtId="0" fontId="23" fillId="49" borderId="0" xfId="67" applyNumberFormat="1" applyFill="1">
      <alignment vertical="top"/>
    </xf>
    <xf numFmtId="0" fontId="26" fillId="49" borderId="0" xfId="67" applyNumberFormat="1" applyFont="1" applyFill="1">
      <alignment vertical="top"/>
    </xf>
    <xf numFmtId="0" fontId="18" fillId="49" borderId="0" xfId="68" applyNumberFormat="1" applyFill="1">
      <alignment horizontal="right" vertical="top"/>
    </xf>
    <xf numFmtId="0" fontId="23" fillId="49" borderId="0" xfId="1" applyNumberFormat="1" applyFont="1" applyFill="1" applyAlignment="1">
      <alignment vertical="top"/>
    </xf>
    <xf numFmtId="0" fontId="26" fillId="49" borderId="0" xfId="1" applyNumberFormat="1" applyFont="1" applyFill="1" applyAlignment="1">
      <alignment vertical="top"/>
    </xf>
    <xf numFmtId="0" fontId="18" fillId="49" borderId="0" xfId="1" applyNumberFormat="1" applyFont="1" applyFill="1" applyAlignment="1">
      <alignment horizontal="right" vertical="top"/>
    </xf>
    <xf numFmtId="165" fontId="49" fillId="48" borderId="0" xfId="0" applyFont="1" applyFill="1">
      <alignment vertical="top"/>
    </xf>
    <xf numFmtId="165" fontId="49" fillId="49" borderId="0" xfId="0" applyFont="1" applyFill="1">
      <alignment vertical="top"/>
    </xf>
    <xf numFmtId="10" fontId="18" fillId="49" borderId="0" xfId="0" applyNumberFormat="1" applyFont="1" applyFill="1" applyAlignment="1">
      <alignment horizontal="right" vertical="center"/>
    </xf>
    <xf numFmtId="165" fontId="42" fillId="49" borderId="0" xfId="0" applyFont="1" applyFill="1" applyAlignment="1">
      <alignment horizontal="left" vertical="center" wrapText="1"/>
    </xf>
    <xf numFmtId="165" fontId="40" fillId="49" borderId="0" xfId="0" applyFont="1" applyFill="1" applyAlignment="1">
      <alignment horizontal="left" vertical="center"/>
    </xf>
    <xf numFmtId="165" fontId="42" fillId="49" borderId="0" xfId="0" applyFont="1" applyFill="1" applyBorder="1" applyAlignment="1">
      <alignment horizontal="left" vertical="center" wrapText="1"/>
    </xf>
    <xf numFmtId="0" fontId="14" fillId="49" borderId="0" xfId="0" applyNumberFormat="1" applyFont="1" applyFill="1">
      <alignment vertical="top"/>
    </xf>
    <xf numFmtId="0" fontId="1" fillId="49" borderId="0" xfId="0" applyNumberFormat="1" applyFont="1" applyFill="1">
      <alignment vertical="top"/>
    </xf>
    <xf numFmtId="165" fontId="39" fillId="48" borderId="0" xfId="0" applyFont="1" applyFill="1" applyAlignment="1">
      <alignment horizontal="left" vertical="center"/>
    </xf>
    <xf numFmtId="0" fontId="45" fillId="48" borderId="0" xfId="70" applyFont="1" applyFill="1" applyAlignment="1">
      <alignment horizontal="left" vertical="center"/>
    </xf>
    <xf numFmtId="1" fontId="22" fillId="49" borderId="0" xfId="66" applyNumberFormat="1" applyFill="1">
      <alignment vertical="top"/>
    </xf>
    <xf numFmtId="1" fontId="23" fillId="49" borderId="0" xfId="67" applyNumberFormat="1" applyFill="1">
      <alignment vertical="top"/>
    </xf>
    <xf numFmtId="1" fontId="29" fillId="49" borderId="0" xfId="67" applyNumberFormat="1" applyFont="1" applyFill="1">
      <alignment vertical="top"/>
    </xf>
    <xf numFmtId="1" fontId="18" fillId="49" borderId="0" xfId="68" applyNumberFormat="1" applyFill="1">
      <alignment horizontal="right" vertical="top"/>
    </xf>
    <xf numFmtId="1" fontId="18" fillId="49" borderId="0" xfId="0" applyNumberFormat="1" applyFont="1" applyFill="1" applyBorder="1">
      <alignment vertical="top"/>
    </xf>
    <xf numFmtId="1" fontId="1" fillId="49" borderId="0" xfId="0" applyNumberFormat="1" applyFont="1" applyFill="1">
      <alignment vertical="top"/>
    </xf>
    <xf numFmtId="1" fontId="22" fillId="49" borderId="0" xfId="0" applyNumberFormat="1" applyFont="1" applyFill="1" applyBorder="1">
      <alignment vertical="top"/>
    </xf>
    <xf numFmtId="0" fontId="18" fillId="49" borderId="0" xfId="61" applyNumberFormat="1" applyFont="1" applyFill="1" applyBorder="1">
      <alignment vertical="top"/>
    </xf>
    <xf numFmtId="0" fontId="18" fillId="49" borderId="0" xfId="0" applyNumberFormat="1" applyFont="1" applyFill="1" applyBorder="1">
      <alignment vertical="top"/>
    </xf>
    <xf numFmtId="0" fontId="45" fillId="48" borderId="0" xfId="0" applyNumberFormat="1" applyFont="1" applyFill="1" applyAlignment="1">
      <alignment horizontal="left" vertical="center"/>
    </xf>
    <xf numFmtId="0" fontId="1" fillId="49" borderId="0" xfId="0" applyNumberFormat="1" applyFont="1" applyFill="1" applyAlignment="1">
      <alignment horizontal="left" vertical="center"/>
    </xf>
    <xf numFmtId="0" fontId="23" fillId="49" borderId="0" xfId="67" applyNumberFormat="1" applyFill="1" applyAlignment="1">
      <alignment vertical="center"/>
    </xf>
    <xf numFmtId="0" fontId="18" fillId="49" borderId="0" xfId="68" applyNumberFormat="1" applyFill="1" applyAlignment="1">
      <alignment horizontal="right" vertical="center"/>
    </xf>
    <xf numFmtId="0" fontId="1" fillId="49" borderId="0" xfId="0" applyNumberFormat="1" applyFont="1" applyFill="1" applyAlignment="1">
      <alignment vertical="center"/>
    </xf>
    <xf numFmtId="0" fontId="38" fillId="49" borderId="0" xfId="0" applyNumberFormat="1" applyFont="1" applyFill="1" applyAlignment="1">
      <alignment vertical="center"/>
    </xf>
    <xf numFmtId="0" fontId="1" fillId="49" borderId="0" xfId="0" applyNumberFormat="1" applyFont="1" applyFill="1" applyAlignment="1">
      <alignment horizontal="right" vertical="center"/>
    </xf>
    <xf numFmtId="0" fontId="14" fillId="49" borderId="0" xfId="0" applyNumberFormat="1" applyFont="1" applyFill="1" applyAlignment="1">
      <alignment vertical="center"/>
    </xf>
    <xf numFmtId="0" fontId="37" fillId="49" borderId="0" xfId="0" applyNumberFormat="1" applyFont="1" applyFill="1" applyAlignment="1">
      <alignment vertical="center"/>
    </xf>
    <xf numFmtId="0" fontId="49" fillId="48" borderId="0" xfId="0" applyNumberFormat="1" applyFont="1" applyFill="1">
      <alignment vertical="top"/>
    </xf>
    <xf numFmtId="0" fontId="22" fillId="49" borderId="0" xfId="0" applyNumberFormat="1" applyFont="1" applyFill="1" applyBorder="1">
      <alignment vertical="top"/>
    </xf>
    <xf numFmtId="0" fontId="39" fillId="48" borderId="0" xfId="0" applyNumberFormat="1" applyFont="1" applyFill="1">
      <alignment vertical="top"/>
    </xf>
    <xf numFmtId="0" fontId="48" fillId="48" borderId="0" xfId="67" applyNumberFormat="1" applyFont="1" applyFill="1">
      <alignment vertical="top"/>
    </xf>
    <xf numFmtId="0" fontId="40" fillId="48" borderId="0" xfId="68" applyNumberFormat="1" applyFont="1" applyFill="1">
      <alignment horizontal="right" vertical="top"/>
    </xf>
    <xf numFmtId="0" fontId="22" fillId="49" borderId="0" xfId="61" applyNumberFormat="1" applyFont="1" applyFill="1" applyBorder="1">
      <alignment vertical="top"/>
    </xf>
    <xf numFmtId="0" fontId="23" fillId="49" borderId="0" xfId="67" applyNumberFormat="1" applyFill="1" applyBorder="1">
      <alignment vertical="top"/>
    </xf>
    <xf numFmtId="0" fontId="29" fillId="49" borderId="0" xfId="67" applyNumberFormat="1" applyFont="1" applyFill="1" applyBorder="1">
      <alignment vertical="top"/>
    </xf>
    <xf numFmtId="0" fontId="18" fillId="49" borderId="0" xfId="68" applyNumberFormat="1" applyFill="1" applyBorder="1">
      <alignment horizontal="right" vertical="top"/>
    </xf>
    <xf numFmtId="0" fontId="29" fillId="49" borderId="0" xfId="67" applyNumberFormat="1" applyFont="1" applyFill="1">
      <alignment vertical="top"/>
    </xf>
    <xf numFmtId="0" fontId="46" fillId="49" borderId="0" xfId="67" applyNumberFormat="1" applyFont="1" applyFill="1">
      <alignment vertical="top"/>
    </xf>
    <xf numFmtId="0" fontId="51" fillId="49" borderId="0" xfId="67" applyNumberFormat="1" applyFont="1" applyFill="1">
      <alignment vertical="top"/>
    </xf>
    <xf numFmtId="0" fontId="14" fillId="49" borderId="0" xfId="68" applyNumberFormat="1" applyFont="1" applyFill="1">
      <alignment horizontal="right" vertical="top"/>
    </xf>
    <xf numFmtId="0" fontId="50" fillId="48" borderId="0" xfId="67" applyNumberFormat="1" applyFont="1" applyFill="1">
      <alignment vertical="top"/>
    </xf>
    <xf numFmtId="0" fontId="52" fillId="48" borderId="0" xfId="67" applyNumberFormat="1" applyFont="1" applyFill="1">
      <alignment vertical="top"/>
    </xf>
    <xf numFmtId="0" fontId="40" fillId="48" borderId="0" xfId="68" applyNumberFormat="1" applyFont="1" applyFill="1" applyAlignment="1">
      <alignment horizontal="left" vertical="top"/>
    </xf>
    <xf numFmtId="0" fontId="18" fillId="49" borderId="0" xfId="68" applyNumberFormat="1" applyFill="1" applyAlignment="1">
      <alignment horizontal="left" vertical="top"/>
    </xf>
    <xf numFmtId="0" fontId="26" fillId="49" borderId="0" xfId="0" applyNumberFormat="1" applyFont="1" applyFill="1">
      <alignment vertical="top"/>
    </xf>
    <xf numFmtId="0" fontId="23" fillId="49" borderId="0" xfId="68" applyNumberFormat="1" applyFont="1" applyFill="1" applyAlignment="1">
      <alignment horizontal="left" vertical="top"/>
    </xf>
    <xf numFmtId="0" fontId="16" fillId="49" borderId="0" xfId="0" applyNumberFormat="1" applyFont="1" applyFill="1" applyAlignment="1">
      <alignment vertical="center"/>
    </xf>
    <xf numFmtId="0" fontId="1" fillId="49" borderId="0" xfId="1" applyNumberFormat="1" applyFont="1" applyFill="1"/>
    <xf numFmtId="176" fontId="27" fillId="49" borderId="0" xfId="2" applyFont="1" applyFill="1">
      <alignment vertical="top"/>
    </xf>
    <xf numFmtId="170" fontId="18" fillId="49" borderId="0" xfId="62" applyFont="1" applyFill="1">
      <alignment vertical="top"/>
    </xf>
    <xf numFmtId="180" fontId="18" fillId="46" borderId="0" xfId="62" applyNumberFormat="1" applyFont="1" applyFill="1">
      <alignment vertical="top"/>
    </xf>
    <xf numFmtId="180" fontId="18" fillId="49" borderId="0" xfId="62" applyNumberFormat="1" applyFont="1" applyFill="1">
      <alignment vertical="top"/>
    </xf>
    <xf numFmtId="180" fontId="23" fillId="49" borderId="0" xfId="62" applyNumberFormat="1" applyFont="1" applyFill="1">
      <alignment vertical="top"/>
    </xf>
    <xf numFmtId="180" fontId="26" fillId="49" borderId="0" xfId="62" applyNumberFormat="1" applyFont="1" applyFill="1">
      <alignment vertical="top"/>
    </xf>
    <xf numFmtId="180" fontId="18" fillId="49" borderId="0" xfId="62" applyNumberFormat="1" applyFill="1">
      <alignment vertical="top"/>
    </xf>
    <xf numFmtId="180" fontId="32" fillId="49" borderId="0" xfId="62" applyNumberFormat="1" applyFont="1" applyFill="1">
      <alignment vertical="top"/>
    </xf>
    <xf numFmtId="180" fontId="47" fillId="49" borderId="0" xfId="62" applyNumberFormat="1" applyFont="1" applyFill="1">
      <alignment vertical="top"/>
    </xf>
    <xf numFmtId="180" fontId="27" fillId="49" borderId="0" xfId="62" applyNumberFormat="1" applyFont="1" applyFill="1">
      <alignment vertical="top"/>
    </xf>
    <xf numFmtId="180" fontId="1" fillId="47" borderId="0" xfId="62" applyNumberFormat="1" applyFont="1" applyFill="1">
      <alignment vertical="top"/>
    </xf>
    <xf numFmtId="180" fontId="18" fillId="49" borderId="0" xfId="62" applyNumberFormat="1" applyFont="1" applyFill="1" applyBorder="1">
      <alignment vertical="top"/>
    </xf>
    <xf numFmtId="180" fontId="29" fillId="49" borderId="0" xfId="62" applyNumberFormat="1" applyFont="1" applyFill="1">
      <alignment vertical="top"/>
    </xf>
    <xf numFmtId="180" fontId="55" fillId="49" borderId="0" xfId="62" applyNumberFormat="1" applyFont="1" applyFill="1" applyBorder="1">
      <alignment vertical="top"/>
    </xf>
    <xf numFmtId="180" fontId="55" fillId="49" borderId="0" xfId="62" applyNumberFormat="1" applyFont="1" applyFill="1">
      <alignment vertical="top"/>
    </xf>
    <xf numFmtId="180" fontId="33" fillId="49" borderId="0" xfId="62" applyNumberFormat="1" applyFont="1" applyFill="1">
      <alignment vertical="top"/>
    </xf>
    <xf numFmtId="180" fontId="34" fillId="49" borderId="0" xfId="62" applyNumberFormat="1" applyFont="1" applyFill="1">
      <alignment vertical="top"/>
    </xf>
    <xf numFmtId="180" fontId="25" fillId="49" borderId="0" xfId="62" applyNumberFormat="1" applyFont="1" applyFill="1" applyBorder="1">
      <alignment vertical="top"/>
    </xf>
    <xf numFmtId="165" fontId="27" fillId="49" borderId="0" xfId="62" applyNumberFormat="1" applyFont="1" applyFill="1">
      <alignment vertical="top"/>
    </xf>
    <xf numFmtId="165" fontId="18" fillId="49" borderId="0" xfId="62" applyNumberFormat="1" applyFont="1" applyFill="1">
      <alignment vertical="top"/>
    </xf>
    <xf numFmtId="164" fontId="27" fillId="49" borderId="0" xfId="62" applyNumberFormat="1" applyFont="1" applyFill="1">
      <alignment vertical="top"/>
    </xf>
    <xf numFmtId="180" fontId="22" fillId="49" borderId="0" xfId="62" applyNumberFormat="1" applyFont="1" applyFill="1" applyBorder="1">
      <alignment vertical="top"/>
    </xf>
    <xf numFmtId="180" fontId="23" fillId="49" borderId="0" xfId="62" applyNumberFormat="1" applyFont="1" applyFill="1" applyBorder="1">
      <alignment vertical="top"/>
    </xf>
    <xf numFmtId="180" fontId="29" fillId="49" borderId="0" xfId="62" applyNumberFormat="1" applyFont="1" applyFill="1" applyBorder="1">
      <alignment vertical="top"/>
    </xf>
    <xf numFmtId="180" fontId="18" fillId="49" borderId="0" xfId="62" applyNumberFormat="1" applyFill="1" applyBorder="1">
      <alignment vertical="top"/>
    </xf>
    <xf numFmtId="180" fontId="46" fillId="49" borderId="0" xfId="62" applyNumberFormat="1" applyFont="1" applyFill="1">
      <alignment vertical="top"/>
    </xf>
    <xf numFmtId="180" fontId="51" fillId="49" borderId="0" xfId="62" applyNumberFormat="1" applyFont="1" applyFill="1">
      <alignment vertical="top"/>
    </xf>
    <xf numFmtId="180" fontId="14" fillId="49" borderId="0" xfId="62" applyNumberFormat="1" applyFont="1" applyFill="1">
      <alignment vertical="top"/>
    </xf>
    <xf numFmtId="176" fontId="14" fillId="49" borderId="0" xfId="2" applyFont="1" applyFill="1">
      <alignment vertical="top"/>
    </xf>
    <xf numFmtId="170" fontId="1" fillId="49" borderId="0" xfId="62" applyFont="1" applyFill="1">
      <alignment vertical="top"/>
    </xf>
    <xf numFmtId="180" fontId="1" fillId="49" borderId="0" xfId="62" applyNumberFormat="1" applyFont="1" applyFill="1">
      <alignment vertical="top"/>
    </xf>
    <xf numFmtId="180" fontId="1" fillId="49" borderId="0" xfId="62" applyNumberFormat="1" applyFont="1" applyFill="1" applyBorder="1">
      <alignment vertical="top"/>
    </xf>
    <xf numFmtId="180" fontId="16" fillId="49" borderId="0" xfId="62" applyNumberFormat="1" applyFont="1" applyFill="1">
      <alignment vertical="top"/>
    </xf>
    <xf numFmtId="180" fontId="36" fillId="0" borderId="0" xfId="62" applyNumberFormat="1" applyFont="1" applyFill="1" applyBorder="1">
      <alignment vertical="top"/>
    </xf>
    <xf numFmtId="180" fontId="37" fillId="49" borderId="0" xfId="62" applyNumberFormat="1" applyFont="1" applyFill="1">
      <alignment vertical="top"/>
    </xf>
    <xf numFmtId="180" fontId="38" fillId="49" borderId="0" xfId="62" applyNumberFormat="1" applyFont="1" applyFill="1">
      <alignment vertical="top"/>
    </xf>
    <xf numFmtId="180" fontId="43" fillId="49" borderId="0" xfId="62" applyNumberFormat="1" applyFont="1" applyFill="1">
      <alignment vertical="top"/>
    </xf>
    <xf numFmtId="180" fontId="36" fillId="0" borderId="0" xfId="62" applyNumberFormat="1" applyFont="1" applyFill="1">
      <alignment vertical="top"/>
    </xf>
    <xf numFmtId="180" fontId="18" fillId="47" borderId="0" xfId="62" applyNumberFormat="1" applyFont="1" applyFill="1">
      <alignment vertical="top"/>
    </xf>
    <xf numFmtId="180" fontId="0" fillId="49" borderId="0" xfId="62" applyNumberFormat="1" applyFont="1" applyFill="1">
      <alignment vertical="top"/>
    </xf>
    <xf numFmtId="176" fontId="38" fillId="49" borderId="0" xfId="2" applyFont="1" applyFill="1">
      <alignment vertical="top"/>
    </xf>
    <xf numFmtId="176" fontId="18" fillId="46" borderId="0" xfId="2" applyFont="1" applyFill="1">
      <alignment vertical="top"/>
    </xf>
    <xf numFmtId="14" fontId="18" fillId="49" borderId="0" xfId="62" applyNumberFormat="1" applyFont="1" applyFill="1">
      <alignment vertical="top"/>
    </xf>
    <xf numFmtId="176" fontId="23" fillId="49" borderId="0" xfId="2" applyFont="1" applyFill="1">
      <alignment vertical="top"/>
    </xf>
    <xf numFmtId="176" fontId="26" fillId="49" borderId="0" xfId="2" applyFont="1" applyFill="1">
      <alignment vertical="top"/>
    </xf>
    <xf numFmtId="176" fontId="14" fillId="49" borderId="0" xfId="2" applyFont="1" applyFill="1" applyBorder="1">
      <alignment vertical="top"/>
    </xf>
    <xf numFmtId="176" fontId="55" fillId="49" borderId="0" xfId="2" applyFont="1" applyFill="1">
      <alignment vertical="top"/>
    </xf>
    <xf numFmtId="176" fontId="18" fillId="47" borderId="0" xfId="2" applyFont="1" applyFill="1">
      <alignment vertical="top"/>
    </xf>
    <xf numFmtId="165" fontId="55" fillId="49" borderId="0" xfId="62" applyNumberFormat="1" applyFont="1" applyFill="1" applyBorder="1">
      <alignment vertical="top"/>
    </xf>
    <xf numFmtId="165" fontId="18" fillId="49" borderId="0" xfId="62" applyNumberFormat="1" applyFont="1" applyFill="1" applyBorder="1">
      <alignment vertical="top"/>
    </xf>
    <xf numFmtId="180" fontId="18" fillId="49" borderId="0" xfId="1" applyNumberFormat="1" applyFont="1" applyFill="1" applyAlignment="1">
      <alignment vertical="top"/>
    </xf>
    <xf numFmtId="176" fontId="32" fillId="49" borderId="0" xfId="2" applyFont="1" applyFill="1">
      <alignment vertical="top"/>
    </xf>
    <xf numFmtId="176" fontId="47" fillId="49" borderId="0" xfId="2" applyFont="1" applyFill="1">
      <alignment vertical="top"/>
    </xf>
    <xf numFmtId="165" fontId="23" fillId="49" borderId="0" xfId="62" applyNumberFormat="1" applyFont="1" applyFill="1">
      <alignment vertical="top"/>
    </xf>
    <xf numFmtId="165" fontId="26" fillId="49" borderId="0" xfId="62" applyNumberFormat="1" applyFont="1" applyFill="1">
      <alignment vertical="top"/>
    </xf>
    <xf numFmtId="165" fontId="18" fillId="49" borderId="0" xfId="62" applyNumberFormat="1" applyFill="1">
      <alignment vertical="top"/>
    </xf>
    <xf numFmtId="180" fontId="27" fillId="49" borderId="0" xfId="0" applyNumberFormat="1" applyFont="1" applyFill="1">
      <alignment vertical="top"/>
    </xf>
    <xf numFmtId="0" fontId="60" fillId="52" borderId="0" xfId="77"/>
    <xf numFmtId="0" fontId="65" fillId="50" borderId="0" xfId="83"/>
    <xf numFmtId="0" fontId="1" fillId="47" borderId="12" xfId="70" applyFill="1" applyBorder="1" applyAlignment="1">
      <alignment horizontal="center"/>
    </xf>
    <xf numFmtId="0" fontId="17" fillId="53" borderId="12" xfId="70" applyFont="1" applyFill="1" applyBorder="1" applyAlignment="1">
      <alignment horizontal="center"/>
    </xf>
    <xf numFmtId="0" fontId="1" fillId="56" borderId="12" xfId="70" applyFill="1" applyBorder="1" applyAlignment="1">
      <alignment horizontal="center"/>
    </xf>
    <xf numFmtId="165" fontId="1" fillId="0" borderId="0" xfId="85">
      <alignment vertical="top"/>
    </xf>
    <xf numFmtId="1" fontId="27" fillId="49" borderId="0" xfId="62" applyNumberFormat="1" applyFont="1" applyFill="1">
      <alignment vertical="top"/>
    </xf>
    <xf numFmtId="1" fontId="18" fillId="49" borderId="0" xfId="62" applyNumberFormat="1" applyFont="1" applyFill="1">
      <alignment vertical="top"/>
    </xf>
    <xf numFmtId="0" fontId="56" fillId="52" borderId="0" xfId="86"/>
    <xf numFmtId="0" fontId="1" fillId="47" borderId="0" xfId="92"/>
    <xf numFmtId="0" fontId="66" fillId="58" borderId="12" xfId="70" applyFont="1" applyFill="1" applyBorder="1" applyAlignment="1">
      <alignment horizontal="center"/>
    </xf>
    <xf numFmtId="0" fontId="1" fillId="49" borderId="0" xfId="70" applyFill="1"/>
    <xf numFmtId="0" fontId="59" fillId="49" borderId="0" xfId="87" applyFill="1"/>
    <xf numFmtId="180" fontId="22" fillId="49" borderId="0" xfId="62" applyNumberFormat="1" applyFont="1" applyFill="1">
      <alignment vertical="top"/>
    </xf>
    <xf numFmtId="176" fontId="18" fillId="49" borderId="0" xfId="62" applyNumberFormat="1" applyFont="1" applyFill="1">
      <alignment vertical="top"/>
    </xf>
    <xf numFmtId="180" fontId="14" fillId="49" borderId="0" xfId="62" applyNumberFormat="1" applyFont="1" applyFill="1" applyBorder="1">
      <alignment vertical="top"/>
    </xf>
    <xf numFmtId="181" fontId="27" fillId="49" borderId="0" xfId="62" applyNumberFormat="1" applyFont="1" applyFill="1">
      <alignment vertical="top"/>
    </xf>
    <xf numFmtId="0" fontId="1" fillId="49" borderId="0" xfId="70" applyFill="1" applyAlignment="1">
      <alignment vertical="center"/>
    </xf>
    <xf numFmtId="0" fontId="1" fillId="49" borderId="0" xfId="70" applyFill="1" applyAlignment="1">
      <alignment vertical="top" wrapText="1"/>
    </xf>
    <xf numFmtId="0" fontId="1" fillId="49" borderId="0" xfId="70" applyFill="1" applyAlignment="1">
      <alignment vertical="center" wrapText="1"/>
    </xf>
    <xf numFmtId="0" fontId="61" fillId="49" borderId="0" xfId="88" applyFill="1"/>
    <xf numFmtId="0" fontId="62" fillId="49" borderId="0" xfId="89" applyFill="1"/>
    <xf numFmtId="0" fontId="63" fillId="49" borderId="0" xfId="78" applyFill="1"/>
    <xf numFmtId="0" fontId="1" fillId="49" borderId="0" xfId="90" applyFill="1"/>
    <xf numFmtId="0" fontId="64" fillId="49" borderId="0" xfId="91" applyFill="1"/>
    <xf numFmtId="165" fontId="0" fillId="49" borderId="0" xfId="0" applyFill="1">
      <alignment vertical="top"/>
    </xf>
    <xf numFmtId="165" fontId="1" fillId="49" borderId="0" xfId="85" applyFill="1">
      <alignment vertical="top"/>
    </xf>
    <xf numFmtId="165" fontId="1" fillId="49" borderId="0" xfId="85" applyFont="1" applyFill="1">
      <alignment vertical="top"/>
    </xf>
    <xf numFmtId="182" fontId="27" fillId="49" borderId="0" xfId="62" applyNumberFormat="1" applyFont="1" applyFill="1">
      <alignment vertical="top"/>
    </xf>
    <xf numFmtId="182" fontId="18" fillId="49" borderId="0" xfId="0" applyNumberFormat="1" applyFont="1" applyFill="1">
      <alignment vertical="top"/>
    </xf>
    <xf numFmtId="181" fontId="18" fillId="49" borderId="0" xfId="62" applyNumberFormat="1" applyFont="1" applyFill="1">
      <alignment vertical="top"/>
    </xf>
    <xf numFmtId="181" fontId="18" fillId="46" borderId="0" xfId="62" applyNumberFormat="1" applyFont="1" applyFill="1">
      <alignment vertical="top"/>
    </xf>
    <xf numFmtId="182" fontId="18" fillId="49" borderId="0" xfId="0" applyNumberFormat="1" applyFont="1" applyFill="1" applyAlignment="1">
      <alignment vertical="center"/>
    </xf>
    <xf numFmtId="182" fontId="1" fillId="49" borderId="0" xfId="0" applyNumberFormat="1" applyFont="1" applyFill="1" applyAlignment="1">
      <alignment vertical="center"/>
    </xf>
    <xf numFmtId="182" fontId="27" fillId="49" borderId="0" xfId="0" applyNumberFormat="1" applyFont="1" applyFill="1" applyAlignment="1">
      <alignment vertical="center"/>
    </xf>
    <xf numFmtId="182" fontId="1" fillId="49" borderId="0" xfId="0" applyNumberFormat="1" applyFont="1" applyFill="1">
      <alignment vertical="top"/>
    </xf>
    <xf numFmtId="0" fontId="45" fillId="52" borderId="0" xfId="73" applyFont="1" applyAlignment="1">
      <alignment horizontal="left" vertical="center"/>
    </xf>
    <xf numFmtId="0" fontId="57" fillId="52" borderId="0" xfId="70" applyFont="1" applyFill="1" applyAlignment="1">
      <alignment horizontal="left" vertical="center"/>
    </xf>
    <xf numFmtId="0" fontId="59" fillId="49" borderId="0" xfId="75" applyFill="1" applyAlignment="1">
      <alignment horizontal="left" vertical="top"/>
    </xf>
    <xf numFmtId="0" fontId="59" fillId="49" borderId="0" xfId="75" applyFill="1" applyAlignment="1">
      <alignment horizontal="left" vertical="center"/>
    </xf>
    <xf numFmtId="0" fontId="1" fillId="49" borderId="0" xfId="70" applyFill="1" applyAlignment="1">
      <alignment horizontal="left" vertical="top"/>
    </xf>
    <xf numFmtId="0" fontId="1" fillId="49" borderId="0" xfId="70" applyFill="1" applyAlignment="1">
      <alignment horizontal="left" vertical="center"/>
    </xf>
    <xf numFmtId="0" fontId="69" fillId="46" borderId="13" xfId="75" applyFont="1" applyFill="1" applyBorder="1" applyAlignment="1">
      <alignment vertical="center" wrapText="1"/>
    </xf>
    <xf numFmtId="0" fontId="1" fillId="49" borderId="13" xfId="70" applyFill="1" applyBorder="1" applyAlignment="1">
      <alignment horizontal="left" vertical="top" wrapText="1"/>
    </xf>
    <xf numFmtId="180" fontId="18" fillId="49" borderId="0" xfId="0" applyNumberFormat="1" applyFont="1" applyFill="1">
      <alignment vertical="top"/>
    </xf>
    <xf numFmtId="165" fontId="27" fillId="60" borderId="0" xfId="62" applyNumberFormat="1" applyFont="1" applyFill="1">
      <alignment vertical="top"/>
    </xf>
    <xf numFmtId="180" fontId="18" fillId="60" borderId="0" xfId="62" applyNumberFormat="1" applyFont="1" applyFill="1">
      <alignment vertical="top"/>
    </xf>
    <xf numFmtId="176" fontId="18" fillId="60" borderId="0" xfId="62" applyNumberFormat="1" applyFont="1" applyFill="1">
      <alignment vertical="top"/>
    </xf>
    <xf numFmtId="0" fontId="1" fillId="0" borderId="13" xfId="70" applyBorder="1" applyAlignment="1">
      <alignment horizontal="left" vertical="top" wrapText="1"/>
    </xf>
    <xf numFmtId="180" fontId="1" fillId="0" borderId="0" xfId="62" applyNumberFormat="1" applyFont="1" applyFill="1">
      <alignment vertical="top"/>
    </xf>
    <xf numFmtId="182" fontId="18" fillId="47" borderId="0" xfId="62" applyNumberFormat="1" applyFont="1" applyFill="1">
      <alignment vertical="top"/>
    </xf>
    <xf numFmtId="180" fontId="38" fillId="0" borderId="0" xfId="62" applyNumberFormat="1" applyFont="1" applyFill="1">
      <alignment vertical="top"/>
    </xf>
    <xf numFmtId="176" fontId="18" fillId="0" borderId="0" xfId="2" applyFont="1" applyFill="1">
      <alignment vertical="top"/>
    </xf>
    <xf numFmtId="181" fontId="18" fillId="47" borderId="0" xfId="62" applyNumberFormat="1" applyFont="1" applyFill="1">
      <alignment vertical="top"/>
    </xf>
    <xf numFmtId="0" fontId="38" fillId="0" borderId="0" xfId="0" applyNumberFormat="1" applyFont="1" applyFill="1">
      <alignment vertical="top"/>
    </xf>
    <xf numFmtId="0" fontId="26" fillId="49" borderId="0" xfId="68" applyNumberFormat="1" applyFont="1" applyFill="1" applyAlignment="1">
      <alignment horizontal="left" vertical="top"/>
    </xf>
    <xf numFmtId="176" fontId="18" fillId="49" borderId="0" xfId="2" applyFont="1" applyFill="1" applyBorder="1">
      <alignment vertical="top"/>
    </xf>
    <xf numFmtId="10" fontId="1" fillId="61" borderId="0" xfId="2" applyNumberFormat="1" applyFont="1" applyFill="1">
      <alignment vertical="top"/>
    </xf>
    <xf numFmtId="1" fontId="1" fillId="61" borderId="0" xfId="62" applyNumberFormat="1" applyFont="1" applyFill="1">
      <alignment vertical="top"/>
    </xf>
    <xf numFmtId="175" fontId="1" fillId="61" borderId="0" xfId="0" applyNumberFormat="1" applyFont="1" applyFill="1">
      <alignment vertical="top"/>
    </xf>
    <xf numFmtId="14" fontId="18" fillId="61" borderId="0" xfId="62" applyNumberFormat="1" applyFont="1" applyFill="1">
      <alignment vertical="top"/>
    </xf>
    <xf numFmtId="1" fontId="18" fillId="61" borderId="0" xfId="62" applyNumberFormat="1" applyFont="1" applyFill="1">
      <alignment vertical="top"/>
    </xf>
    <xf numFmtId="180" fontId="1" fillId="61" borderId="0" xfId="62" applyNumberFormat="1" applyFont="1" applyFill="1">
      <alignment vertical="top"/>
    </xf>
    <xf numFmtId="175" fontId="1" fillId="49" borderId="0" xfId="0" applyNumberFormat="1" applyFont="1" applyFill="1">
      <alignment vertical="top"/>
    </xf>
    <xf numFmtId="180" fontId="18" fillId="61" borderId="0" xfId="62" applyNumberFormat="1" applyFont="1" applyFill="1">
      <alignment vertical="top"/>
    </xf>
    <xf numFmtId="175" fontId="1" fillId="63" borderId="0" xfId="0" applyNumberFormat="1" applyFont="1" applyFill="1">
      <alignment vertical="top"/>
    </xf>
    <xf numFmtId="1" fontId="1" fillId="61" borderId="0" xfId="2" applyNumberFormat="1" applyFont="1" applyFill="1">
      <alignment vertical="top"/>
    </xf>
    <xf numFmtId="182" fontId="18" fillId="61" borderId="0" xfId="62" applyNumberFormat="1" applyFont="1" applyFill="1">
      <alignment vertical="top"/>
    </xf>
    <xf numFmtId="176" fontId="18" fillId="61" borderId="0" xfId="2" applyFont="1" applyFill="1">
      <alignment vertical="top"/>
    </xf>
    <xf numFmtId="181" fontId="18" fillId="61" borderId="0" xfId="62" applyNumberFormat="1" applyFont="1" applyFill="1">
      <alignment vertical="top"/>
    </xf>
    <xf numFmtId="182" fontId="18" fillId="49" borderId="0" xfId="62" applyNumberFormat="1" applyFont="1" applyFill="1">
      <alignment vertical="top"/>
    </xf>
    <xf numFmtId="182" fontId="16" fillId="49" borderId="0" xfId="0" applyNumberFormat="1" applyFont="1" applyFill="1" applyAlignment="1">
      <alignment vertical="center"/>
    </xf>
    <xf numFmtId="1" fontId="14" fillId="49" borderId="0" xfId="0" applyNumberFormat="1" applyFont="1" applyFill="1">
      <alignment vertical="top"/>
    </xf>
    <xf numFmtId="180" fontId="1" fillId="64" borderId="0" xfId="62" applyNumberFormat="1" applyFont="1" applyFill="1">
      <alignment vertical="top"/>
    </xf>
    <xf numFmtId="182" fontId="18" fillId="65" borderId="0" xfId="62" applyNumberFormat="1" applyFont="1" applyFill="1">
      <alignment vertical="top"/>
    </xf>
    <xf numFmtId="15" fontId="57" fillId="52" borderId="0" xfId="7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left" vertical="top" wrapText="1"/>
    </xf>
    <xf numFmtId="0" fontId="1" fillId="0" borderId="0" xfId="70" applyAlignment="1">
      <alignment horizontal="left" vertical="center"/>
    </xf>
    <xf numFmtId="165" fontId="1" fillId="67" borderId="0" xfId="0" applyFont="1" applyFill="1" applyAlignment="1">
      <alignment vertical="center"/>
    </xf>
    <xf numFmtId="164" fontId="24" fillId="0" borderId="0" xfId="1" applyFont="1" applyFill="1" applyAlignment="1">
      <alignment vertical="top"/>
    </xf>
    <xf numFmtId="177" fontId="24" fillId="0" borderId="0" xfId="60" applyFont="1" applyFill="1">
      <alignment vertical="top"/>
    </xf>
    <xf numFmtId="0" fontId="24" fillId="0" borderId="0" xfId="55" applyNumberFormat="1">
      <alignment vertical="top"/>
    </xf>
    <xf numFmtId="164" fontId="24" fillId="0" borderId="0" xfId="0" applyNumberFormat="1" applyFont="1" applyFill="1">
      <alignment vertical="top"/>
    </xf>
    <xf numFmtId="180" fontId="18" fillId="0" borderId="0" xfId="62" applyNumberFormat="1" applyFont="1" applyFill="1">
      <alignment vertical="top"/>
    </xf>
    <xf numFmtId="165" fontId="18" fillId="0" borderId="0" xfId="62" applyNumberFormat="1" applyFont="1" applyFill="1">
      <alignment vertical="top"/>
    </xf>
    <xf numFmtId="164" fontId="18" fillId="0" borderId="0" xfId="1" applyFont="1" applyFill="1" applyAlignment="1">
      <alignment vertical="top"/>
    </xf>
    <xf numFmtId="165" fontId="18" fillId="0" borderId="0" xfId="0" applyFont="1" applyFill="1">
      <alignment vertical="top"/>
    </xf>
    <xf numFmtId="180" fontId="27" fillId="0" borderId="0" xfId="62" applyNumberFormat="1" applyFont="1" applyFill="1">
      <alignment vertical="top"/>
    </xf>
    <xf numFmtId="176" fontId="14" fillId="0" borderId="0" xfId="2" applyFont="1" applyFill="1">
      <alignment vertical="top"/>
    </xf>
    <xf numFmtId="180" fontId="37" fillId="0" borderId="0" xfId="62" applyNumberFormat="1" applyFont="1" applyFill="1">
      <alignment vertical="top"/>
    </xf>
    <xf numFmtId="176" fontId="27" fillId="0" borderId="0" xfId="2" applyFont="1" applyFill="1">
      <alignment vertical="top"/>
    </xf>
    <xf numFmtId="0" fontId="26" fillId="0" borderId="0" xfId="67" applyNumberFormat="1" applyFont="1" applyFill="1" applyAlignment="1">
      <alignment vertical="center"/>
    </xf>
    <xf numFmtId="0" fontId="38" fillId="0" borderId="0" xfId="0" applyNumberFormat="1" applyFont="1" applyFill="1" applyAlignment="1">
      <alignment vertical="center"/>
    </xf>
    <xf numFmtId="0" fontId="27" fillId="0" borderId="0" xfId="0" applyNumberFormat="1" applyFont="1" applyFill="1" applyAlignment="1">
      <alignment vertical="center"/>
    </xf>
    <xf numFmtId="182" fontId="27" fillId="0" borderId="0" xfId="0" applyNumberFormat="1" applyFont="1" applyFill="1" applyAlignment="1">
      <alignment horizontal="right" vertical="center"/>
    </xf>
    <xf numFmtId="165" fontId="1" fillId="0" borderId="0" xfId="0" applyFont="1" applyFill="1" applyAlignment="1">
      <alignment vertical="center"/>
    </xf>
    <xf numFmtId="165" fontId="14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182" fontId="18" fillId="0" borderId="0" xfId="0" applyNumberFormat="1" applyFont="1" applyFill="1" applyAlignment="1">
      <alignment horizontal="right" vertical="center"/>
    </xf>
    <xf numFmtId="182" fontId="1" fillId="0" borderId="0" xfId="0" applyNumberFormat="1" applyFont="1" applyFill="1" applyAlignment="1">
      <alignment vertical="center"/>
    </xf>
    <xf numFmtId="10" fontId="27" fillId="0" borderId="0" xfId="0" applyNumberFormat="1" applyFont="1" applyFill="1" applyAlignment="1">
      <alignment vertical="center"/>
    </xf>
    <xf numFmtId="165" fontId="27" fillId="0" borderId="0" xfId="0" applyFont="1" applyFill="1" applyAlignment="1">
      <alignment vertical="center"/>
    </xf>
    <xf numFmtId="182" fontId="18" fillId="0" borderId="0" xfId="0" applyNumberFormat="1" applyFont="1" applyFill="1" applyAlignment="1">
      <alignment vertical="center"/>
    </xf>
    <xf numFmtId="0" fontId="14" fillId="0" borderId="0" xfId="0" applyNumberFormat="1" applyFont="1" applyFill="1" applyAlignment="1">
      <alignment vertical="center"/>
    </xf>
    <xf numFmtId="182" fontId="14" fillId="0" borderId="0" xfId="0" applyNumberFormat="1" applyFont="1" applyFill="1" applyAlignment="1">
      <alignment vertical="center"/>
    </xf>
    <xf numFmtId="176" fontId="27" fillId="0" borderId="0" xfId="62" applyNumberFormat="1" applyFont="1" applyFill="1">
      <alignment vertical="top"/>
    </xf>
    <xf numFmtId="180" fontId="18" fillId="0" borderId="0" xfId="62" applyNumberFormat="1" applyFont="1" applyFill="1" applyBorder="1">
      <alignment vertical="top"/>
    </xf>
    <xf numFmtId="180" fontId="14" fillId="0" borderId="0" xfId="62" applyNumberFormat="1" applyFont="1" applyFill="1" applyBorder="1">
      <alignment vertical="top"/>
    </xf>
    <xf numFmtId="165" fontId="27" fillId="0" borderId="0" xfId="62" applyNumberFormat="1" applyFont="1" applyFill="1">
      <alignment vertical="top"/>
    </xf>
    <xf numFmtId="176" fontId="27" fillId="0" borderId="0" xfId="1" applyNumberFormat="1" applyFont="1" applyFill="1" applyAlignment="1">
      <alignment vertical="top"/>
    </xf>
    <xf numFmtId="180" fontId="26" fillId="0" borderId="0" xfId="62" applyNumberFormat="1" applyFont="1" applyFill="1">
      <alignment vertical="top"/>
    </xf>
    <xf numFmtId="180" fontId="14" fillId="0" borderId="0" xfId="62" applyNumberFormat="1" applyFont="1" applyFill="1">
      <alignment vertical="top"/>
    </xf>
    <xf numFmtId="180" fontId="27" fillId="0" borderId="0" xfId="1" applyNumberFormat="1" applyFont="1" applyFill="1" applyAlignment="1">
      <alignment vertical="top"/>
    </xf>
    <xf numFmtId="180" fontId="25" fillId="0" borderId="0" xfId="62" applyNumberFormat="1" applyFont="1" applyFill="1" applyBorder="1">
      <alignment vertical="top"/>
    </xf>
    <xf numFmtId="165" fontId="40" fillId="0" borderId="0" xfId="0" applyFont="1" applyFill="1" applyAlignment="1">
      <alignment horizontal="left" vertical="center"/>
    </xf>
    <xf numFmtId="165" fontId="42" fillId="0" borderId="0" xfId="0" applyFont="1" applyFill="1" applyAlignment="1">
      <alignment horizontal="left" vertical="center" wrapText="1"/>
    </xf>
    <xf numFmtId="165" fontId="42" fillId="0" borderId="11" xfId="0" applyFont="1" applyFill="1" applyBorder="1" applyAlignment="1">
      <alignment horizontal="left" vertical="center" wrapText="1"/>
    </xf>
    <xf numFmtId="165" fontId="42" fillId="0" borderId="0" xfId="0" applyFont="1" applyFill="1" applyBorder="1" applyAlignment="1">
      <alignment horizontal="left" vertical="center" wrapText="1"/>
    </xf>
    <xf numFmtId="180" fontId="27" fillId="0" borderId="0" xfId="0" applyNumberFormat="1" applyFont="1" applyFill="1">
      <alignment vertical="top"/>
    </xf>
    <xf numFmtId="180" fontId="27" fillId="0" borderId="0" xfId="0" applyNumberFormat="1" applyFont="1" applyFill="1" applyAlignment="1">
      <alignment horizontal="right" vertical="center"/>
    </xf>
    <xf numFmtId="0" fontId="26" fillId="0" borderId="0" xfId="0" applyNumberFormat="1" applyFont="1" applyFill="1">
      <alignment vertical="top"/>
    </xf>
    <xf numFmtId="0" fontId="18" fillId="0" borderId="0" xfId="0" applyNumberFormat="1" applyFont="1" applyFill="1">
      <alignment vertical="top"/>
    </xf>
    <xf numFmtId="1" fontId="18" fillId="0" borderId="0" xfId="62" applyNumberFormat="1" applyFont="1" applyFill="1">
      <alignment vertical="top"/>
    </xf>
    <xf numFmtId="164" fontId="27" fillId="0" borderId="0" xfId="62" applyNumberFormat="1" applyFont="1" applyFill="1">
      <alignment vertical="top"/>
    </xf>
    <xf numFmtId="1" fontId="27" fillId="0" borderId="0" xfId="62" applyNumberFormat="1" applyFont="1" applyFill="1">
      <alignment vertical="top"/>
    </xf>
    <xf numFmtId="0" fontId="22" fillId="0" borderId="0" xfId="0" applyNumberFormat="1" applyFont="1" applyFill="1" applyAlignment="1">
      <alignment horizontal="center" vertical="top"/>
    </xf>
    <xf numFmtId="181" fontId="27" fillId="0" borderId="0" xfId="62" applyNumberFormat="1" applyFont="1" applyFill="1">
      <alignment vertical="top"/>
    </xf>
    <xf numFmtId="182" fontId="18" fillId="0" borderId="0" xfId="62" applyNumberFormat="1" applyFont="1" applyFill="1">
      <alignment vertical="top"/>
    </xf>
    <xf numFmtId="182" fontId="27" fillId="0" borderId="0" xfId="62" applyNumberFormat="1" applyFont="1" applyFill="1">
      <alignment vertical="top"/>
    </xf>
    <xf numFmtId="180" fontId="18" fillId="62" borderId="0" xfId="62" applyNumberFormat="1" applyFont="1" applyFill="1">
      <alignment vertical="top"/>
    </xf>
    <xf numFmtId="0" fontId="1" fillId="0" borderId="0" xfId="70" applyAlignment="1">
      <alignment vertical="top" wrapText="1"/>
    </xf>
    <xf numFmtId="180" fontId="16" fillId="0" borderId="0" xfId="62" applyNumberFormat="1" applyFont="1" applyFill="1">
      <alignment vertical="top"/>
    </xf>
    <xf numFmtId="170" fontId="1" fillId="0" borderId="0" xfId="62" applyFont="1" applyFill="1">
      <alignment vertical="top"/>
    </xf>
    <xf numFmtId="180" fontId="46" fillId="0" borderId="0" xfId="62" applyNumberFormat="1" applyFont="1" applyFill="1">
      <alignment vertical="top"/>
    </xf>
    <xf numFmtId="180" fontId="51" fillId="0" borderId="0" xfId="62" applyNumberFormat="1" applyFont="1" applyFill="1">
      <alignment vertical="top"/>
    </xf>
    <xf numFmtId="180" fontId="67" fillId="0" borderId="0" xfId="62" applyNumberFormat="1" applyFont="1" applyFill="1">
      <alignment vertical="top"/>
    </xf>
    <xf numFmtId="175" fontId="14" fillId="0" borderId="0" xfId="0" applyNumberFormat="1" applyFont="1" applyFill="1">
      <alignment vertical="top"/>
    </xf>
    <xf numFmtId="180" fontId="32" fillId="0" borderId="0" xfId="62" applyNumberFormat="1" applyFont="1" applyFill="1">
      <alignment vertical="top"/>
    </xf>
    <xf numFmtId="180" fontId="47" fillId="0" borderId="0" xfId="62" applyNumberFormat="1" applyFont="1" applyFill="1">
      <alignment vertical="top"/>
    </xf>
    <xf numFmtId="180" fontId="23" fillId="0" borderId="0" xfId="62" applyNumberFormat="1" applyFont="1" applyFill="1">
      <alignment vertical="top"/>
    </xf>
    <xf numFmtId="180" fontId="29" fillId="0" borderId="0" xfId="62" applyNumberFormat="1" applyFont="1" applyFill="1">
      <alignment vertical="top"/>
    </xf>
    <xf numFmtId="180" fontId="18" fillId="0" borderId="0" xfId="62" applyNumberFormat="1" applyFill="1">
      <alignment vertical="top"/>
    </xf>
    <xf numFmtId="180" fontId="55" fillId="0" borderId="0" xfId="62" applyNumberFormat="1" applyFont="1" applyFill="1" applyBorder="1">
      <alignment vertical="top"/>
    </xf>
    <xf numFmtId="180" fontId="55" fillId="0" borderId="0" xfId="62" applyNumberFormat="1" applyFont="1" applyFill="1">
      <alignment vertical="top"/>
    </xf>
    <xf numFmtId="165" fontId="55" fillId="0" borderId="0" xfId="62" applyNumberFormat="1" applyFont="1" applyFill="1" applyBorder="1">
      <alignment vertical="top"/>
    </xf>
    <xf numFmtId="165" fontId="1" fillId="49" borderId="0" xfId="85" applyFill="1" applyAlignment="1">
      <alignment vertical="top" wrapText="1"/>
    </xf>
    <xf numFmtId="165" fontId="1" fillId="59" borderId="12" xfId="85" applyFont="1" applyFill="1" applyBorder="1" applyAlignment="1">
      <alignment vertical="top" wrapText="1"/>
    </xf>
    <xf numFmtId="165" fontId="1" fillId="66" borderId="12" xfId="85" applyFill="1" applyBorder="1" applyAlignment="1">
      <alignment vertical="top" wrapText="1"/>
    </xf>
    <xf numFmtId="165" fontId="1" fillId="0" borderId="0" xfId="85" applyAlignment="1">
      <alignment vertical="top" wrapText="1"/>
    </xf>
    <xf numFmtId="165" fontId="66" fillId="58" borderId="12" xfId="85" applyFont="1" applyFill="1" applyBorder="1" applyAlignment="1">
      <alignment vertical="top" wrapText="1"/>
    </xf>
    <xf numFmtId="165" fontId="1" fillId="57" borderId="12" xfId="85" applyFill="1" applyBorder="1" applyAlignment="1">
      <alignment vertical="top" wrapText="1"/>
    </xf>
    <xf numFmtId="165" fontId="18" fillId="49" borderId="0" xfId="85" applyFont="1" applyFill="1" applyBorder="1" applyAlignment="1">
      <alignment vertical="top" wrapText="1"/>
    </xf>
    <xf numFmtId="165" fontId="1" fillId="0" borderId="0" xfId="85" applyFill="1" applyAlignment="1">
      <alignment vertical="top" wrapText="1"/>
    </xf>
    <xf numFmtId="165" fontId="1" fillId="49" borderId="0" xfId="85" applyFill="1" applyBorder="1" applyAlignment="1">
      <alignment vertical="top" wrapText="1"/>
    </xf>
    <xf numFmtId="165" fontId="1" fillId="59" borderId="12" xfId="85" applyFill="1" applyBorder="1" applyAlignment="1">
      <alignment vertical="top" wrapText="1"/>
    </xf>
    <xf numFmtId="165" fontId="17" fillId="68" borderId="12" xfId="85" applyFont="1" applyFill="1" applyBorder="1" applyAlignment="1">
      <alignment vertical="top" wrapText="1"/>
    </xf>
    <xf numFmtId="165" fontId="1" fillId="0" borderId="0" xfId="85" applyFont="1" applyFill="1" applyAlignment="1">
      <alignment vertical="top" wrapText="1"/>
    </xf>
    <xf numFmtId="165" fontId="24" fillId="49" borderId="0" xfId="85" applyFont="1" applyFill="1" applyBorder="1" applyAlignment="1">
      <alignment vertical="top" wrapText="1"/>
    </xf>
    <xf numFmtId="165" fontId="1" fillId="49" borderId="0" xfId="85" applyFont="1" applyFill="1" applyAlignment="1">
      <alignment vertical="top" wrapText="1"/>
    </xf>
    <xf numFmtId="182" fontId="14" fillId="0" borderId="0" xfId="0" applyNumberFormat="1" applyFont="1" applyFill="1">
      <alignment vertical="top"/>
    </xf>
    <xf numFmtId="180" fontId="18" fillId="69" borderId="0" xfId="62" applyNumberFormat="1" applyFont="1" applyFill="1">
      <alignment vertical="top"/>
    </xf>
    <xf numFmtId="182" fontId="27" fillId="60" borderId="0" xfId="62" applyNumberFormat="1" applyFont="1" applyFill="1">
      <alignment vertical="top"/>
    </xf>
    <xf numFmtId="0" fontId="55" fillId="49" borderId="0" xfId="0" applyNumberFormat="1" applyFont="1" applyFill="1" applyAlignment="1">
      <alignment vertical="center"/>
    </xf>
    <xf numFmtId="0" fontId="55" fillId="0" borderId="0" xfId="0" applyNumberFormat="1" applyFont="1" applyFill="1" applyAlignment="1">
      <alignment vertical="center"/>
    </xf>
    <xf numFmtId="182" fontId="55" fillId="0" borderId="0" xfId="0" applyNumberFormat="1" applyFont="1" applyFill="1" applyAlignment="1">
      <alignment vertical="center"/>
    </xf>
    <xf numFmtId="165" fontId="55" fillId="0" borderId="0" xfId="0" applyFont="1" applyFill="1" applyAlignment="1">
      <alignment vertical="center"/>
    </xf>
    <xf numFmtId="165" fontId="55" fillId="49" borderId="0" xfId="0" applyFont="1" applyFill="1" applyAlignment="1">
      <alignment vertical="center"/>
    </xf>
    <xf numFmtId="165" fontId="18" fillId="60" borderId="0" xfId="0" applyFont="1" applyFill="1">
      <alignment vertical="top"/>
    </xf>
    <xf numFmtId="165" fontId="0" fillId="0" borderId="0" xfId="0" applyFill="1">
      <alignment vertical="top"/>
    </xf>
    <xf numFmtId="182" fontId="18" fillId="69" borderId="0" xfId="62" applyNumberFormat="1" applyFont="1" applyFill="1">
      <alignment vertical="top"/>
    </xf>
    <xf numFmtId="175" fontId="1" fillId="70" borderId="0" xfId="0" applyNumberFormat="1" applyFont="1" applyFill="1">
      <alignment vertical="top"/>
    </xf>
    <xf numFmtId="14" fontId="18" fillId="70" borderId="0" xfId="62" applyNumberFormat="1" applyFont="1" applyFill="1">
      <alignment vertical="top"/>
    </xf>
    <xf numFmtId="182" fontId="18" fillId="71" borderId="0" xfId="62" applyNumberFormat="1" applyFont="1" applyFill="1">
      <alignment vertical="top"/>
    </xf>
    <xf numFmtId="180" fontId="1" fillId="71" borderId="0" xfId="62" applyNumberFormat="1" applyFont="1" applyFill="1">
      <alignment vertical="top"/>
    </xf>
    <xf numFmtId="176" fontId="18" fillId="72" borderId="0" xfId="2" applyFont="1" applyFill="1">
      <alignment vertical="top"/>
    </xf>
    <xf numFmtId="180" fontId="18" fillId="72" borderId="0" xfId="62" applyNumberFormat="1" applyFont="1" applyFill="1">
      <alignment vertical="top"/>
    </xf>
    <xf numFmtId="181" fontId="18" fillId="72" borderId="0" xfId="62" applyNumberFormat="1" applyFont="1" applyFill="1">
      <alignment vertical="top"/>
    </xf>
    <xf numFmtId="185" fontId="27" fillId="0" borderId="0" xfId="0" applyNumberFormat="1" applyFont="1" applyFill="1" applyAlignment="1">
      <alignment vertical="center"/>
    </xf>
    <xf numFmtId="185" fontId="1" fillId="60" borderId="0" xfId="0" applyNumberFormat="1" applyFont="1" applyFill="1">
      <alignment vertical="top"/>
    </xf>
    <xf numFmtId="165" fontId="39" fillId="48" borderId="0" xfId="0" applyFont="1" applyFill="1" applyAlignment="1">
      <alignment horizontal="right" vertical="center"/>
    </xf>
    <xf numFmtId="181" fontId="18" fillId="60" borderId="0" xfId="62" applyNumberFormat="1" applyFont="1" applyFill="1">
      <alignment vertical="top"/>
    </xf>
    <xf numFmtId="180" fontId="1" fillId="69" borderId="0" xfId="62" applyNumberFormat="1" applyFont="1" applyFill="1">
      <alignment vertical="top"/>
    </xf>
    <xf numFmtId="10" fontId="1" fillId="69" borderId="0" xfId="2" applyNumberFormat="1" applyFont="1" applyFill="1">
      <alignment vertical="top"/>
    </xf>
    <xf numFmtId="180" fontId="18" fillId="73" borderId="0" xfId="62" applyNumberFormat="1" applyFont="1" applyFill="1">
      <alignment vertical="top"/>
    </xf>
    <xf numFmtId="0" fontId="45" fillId="48" borderId="0" xfId="70" applyFont="1" applyFill="1" applyAlignment="1">
      <alignment horizontal="right" vertical="center"/>
    </xf>
    <xf numFmtId="0" fontId="39" fillId="48" borderId="0" xfId="0" applyNumberFormat="1" applyFont="1" applyFill="1" applyAlignment="1">
      <alignment horizontal="right" vertical="center"/>
    </xf>
    <xf numFmtId="0" fontId="45" fillId="48" borderId="0" xfId="0" applyNumberFormat="1" applyFont="1" applyFill="1" applyAlignment="1">
      <alignment horizontal="right" vertical="center"/>
    </xf>
    <xf numFmtId="176" fontId="1" fillId="0" borderId="0" xfId="2" applyFont="1" applyFill="1">
      <alignment vertical="top"/>
    </xf>
    <xf numFmtId="165" fontId="66" fillId="74" borderId="12" xfId="85" applyFont="1" applyFill="1" applyBorder="1" applyAlignment="1">
      <alignment vertical="top" wrapText="1"/>
    </xf>
    <xf numFmtId="171" fontId="18" fillId="49" borderId="0" xfId="1" applyNumberFormat="1" applyFont="1" applyFill="1" applyAlignment="1">
      <alignment vertical="top"/>
    </xf>
    <xf numFmtId="0" fontId="73" fillId="0" borderId="0" xfId="0" applyNumberFormat="1" applyFont="1" applyFill="1" applyAlignment="1"/>
    <xf numFmtId="180" fontId="1" fillId="46" borderId="0" xfId="62" applyNumberFormat="1" applyFont="1" applyFill="1">
      <alignment vertical="top"/>
    </xf>
    <xf numFmtId="180" fontId="1" fillId="60" borderId="0" xfId="62" applyNumberFormat="1" applyFont="1" applyFill="1">
      <alignment vertical="top"/>
    </xf>
    <xf numFmtId="0" fontId="65" fillId="49" borderId="0" xfId="83" applyFill="1"/>
    <xf numFmtId="0" fontId="60" fillId="49" borderId="0" xfId="77" applyFill="1"/>
    <xf numFmtId="175" fontId="1" fillId="69" borderId="0" xfId="0" applyNumberFormat="1" applyFont="1" applyFill="1">
      <alignment vertical="top"/>
    </xf>
    <xf numFmtId="180" fontId="1" fillId="73" borderId="0" xfId="62" applyNumberFormat="1" applyFont="1" applyFill="1">
      <alignment vertical="top"/>
    </xf>
    <xf numFmtId="180" fontId="17" fillId="49" borderId="0" xfId="62" applyNumberFormat="1" applyFont="1" applyFill="1">
      <alignment vertical="top"/>
    </xf>
    <xf numFmtId="165" fontId="0" fillId="0" borderId="0" xfId="0" applyAlignment="1">
      <alignment horizontal="right" vertical="top"/>
    </xf>
    <xf numFmtId="183" fontId="0" fillId="0" borderId="0" xfId="0" applyNumberFormat="1" applyAlignment="1">
      <alignment horizontal="right" vertical="top"/>
    </xf>
    <xf numFmtId="183" fontId="0" fillId="0" borderId="0" xfId="0" applyNumberFormat="1" applyFill="1" applyAlignment="1">
      <alignment horizontal="right" vertical="top"/>
    </xf>
    <xf numFmtId="184" fontId="0" fillId="0" borderId="0" xfId="0" applyNumberFormat="1" applyAlignment="1">
      <alignment horizontal="right" vertical="top"/>
    </xf>
    <xf numFmtId="184" fontId="0" fillId="0" borderId="0" xfId="0" applyNumberFormat="1" applyFill="1" applyAlignment="1">
      <alignment horizontal="right" vertical="top"/>
    </xf>
    <xf numFmtId="185" fontId="0" fillId="0" borderId="0" xfId="0" applyNumberFormat="1" applyFill="1" applyAlignment="1">
      <alignment horizontal="right" vertical="top"/>
    </xf>
    <xf numFmtId="14" fontId="1" fillId="49" borderId="0" xfId="62" applyNumberFormat="1" applyFont="1" applyFill="1">
      <alignment vertical="top"/>
    </xf>
    <xf numFmtId="1" fontId="1" fillId="49" borderId="0" xfId="62" applyNumberFormat="1" applyFont="1" applyFill="1">
      <alignment vertical="top"/>
    </xf>
    <xf numFmtId="180" fontId="1" fillId="49" borderId="0" xfId="62" applyNumberFormat="1" applyFont="1" applyFill="1" applyAlignment="1">
      <alignment horizontal="right" vertical="top"/>
    </xf>
    <xf numFmtId="14" fontId="18" fillId="69" borderId="0" xfId="62" applyNumberFormat="1" applyFont="1" applyFill="1">
      <alignment vertical="top"/>
    </xf>
    <xf numFmtId="180" fontId="1" fillId="49" borderId="0" xfId="62" quotePrefix="1" applyNumberFormat="1" applyFont="1" applyFill="1">
      <alignment vertical="top"/>
    </xf>
    <xf numFmtId="164" fontId="27" fillId="49" borderId="0" xfId="1" applyFont="1" applyFill="1" applyAlignment="1">
      <alignment vertical="top"/>
    </xf>
    <xf numFmtId="165" fontId="18" fillId="65" borderId="0" xfId="62" applyNumberFormat="1" applyFont="1" applyFill="1">
      <alignment vertical="top"/>
    </xf>
    <xf numFmtId="188" fontId="18" fillId="47" borderId="0" xfId="2" applyNumberFormat="1" applyFont="1" applyFill="1">
      <alignment vertical="top"/>
    </xf>
    <xf numFmtId="189" fontId="14" fillId="0" borderId="0" xfId="1" applyNumberFormat="1" applyFont="1" applyFill="1" applyAlignment="1">
      <alignment vertical="top"/>
    </xf>
    <xf numFmtId="0" fontId="27" fillId="0" borderId="0" xfId="1" applyNumberFormat="1" applyFont="1" applyFill="1" applyAlignment="1">
      <alignment vertical="top"/>
    </xf>
    <xf numFmtId="0" fontId="27" fillId="0" borderId="0" xfId="0" applyNumberFormat="1" applyFont="1" applyFill="1">
      <alignment vertical="top"/>
    </xf>
    <xf numFmtId="0" fontId="27" fillId="0" borderId="0" xfId="0" quotePrefix="1" applyNumberFormat="1" applyFont="1" applyFill="1">
      <alignment vertical="top"/>
    </xf>
    <xf numFmtId="165" fontId="27" fillId="0" borderId="0" xfId="0" applyFont="1" applyFill="1">
      <alignment vertical="top"/>
    </xf>
    <xf numFmtId="1" fontId="1" fillId="69" borderId="0" xfId="62" applyNumberFormat="1" applyFont="1" applyFill="1">
      <alignment vertical="top"/>
    </xf>
    <xf numFmtId="181" fontId="27" fillId="49" borderId="0" xfId="0" applyNumberFormat="1" applyFont="1" applyFill="1" applyAlignment="1">
      <alignment horizontal="right" vertical="center"/>
    </xf>
    <xf numFmtId="181" fontId="27" fillId="0" borderId="0" xfId="0" applyNumberFormat="1" applyFont="1" applyFill="1" applyAlignment="1">
      <alignment horizontal="right" vertical="center"/>
    </xf>
    <xf numFmtId="165" fontId="0" fillId="0" borderId="0" xfId="0" applyFill="1" applyAlignment="1">
      <alignment horizontal="right" vertical="top"/>
    </xf>
    <xf numFmtId="2" fontId="0" fillId="0" borderId="0" xfId="0" applyNumberFormat="1" applyFill="1" applyAlignment="1">
      <alignment horizontal="right" vertical="top"/>
    </xf>
    <xf numFmtId="176" fontId="0" fillId="0" borderId="0" xfId="2" applyFont="1" applyFill="1" applyAlignment="1">
      <alignment horizontal="right" vertical="top"/>
    </xf>
    <xf numFmtId="1" fontId="0" fillId="0" borderId="0" xfId="0" applyNumberFormat="1" applyFill="1" applyAlignment="1">
      <alignment horizontal="right" vertical="top"/>
    </xf>
    <xf numFmtId="186" fontId="0" fillId="0" borderId="0" xfId="2" applyNumberFormat="1" applyFont="1" applyFill="1" applyAlignment="1">
      <alignment horizontal="right" vertical="top"/>
    </xf>
    <xf numFmtId="175" fontId="0" fillId="0" borderId="0" xfId="0" applyNumberFormat="1" applyFill="1" applyAlignment="1">
      <alignment horizontal="right" vertical="top"/>
    </xf>
    <xf numFmtId="175" fontId="0" fillId="0" borderId="0" xfId="0" applyNumberFormat="1" applyFill="1">
      <alignment vertical="top"/>
    </xf>
    <xf numFmtId="189" fontId="27" fillId="49" borderId="0" xfId="1" applyNumberFormat="1" applyFont="1" applyFill="1" applyAlignment="1">
      <alignment vertical="top"/>
    </xf>
    <xf numFmtId="165" fontId="42" fillId="49" borderId="14" xfId="0" applyFont="1" applyFill="1" applyBorder="1" applyAlignment="1">
      <alignment horizontal="left" vertical="center" wrapText="1"/>
    </xf>
    <xf numFmtId="165" fontId="42" fillId="49" borderId="15" xfId="0" applyFont="1" applyFill="1" applyBorder="1" applyAlignment="1">
      <alignment horizontal="left" vertical="center" wrapText="1"/>
    </xf>
    <xf numFmtId="0" fontId="72" fillId="0" borderId="0" xfId="0" applyNumberFormat="1" applyFont="1" applyFill="1" applyAlignment="1"/>
    <xf numFmtId="0" fontId="57" fillId="52" borderId="0" xfId="70" applyFont="1" applyFill="1" applyAlignment="1">
      <alignment vertical="center"/>
    </xf>
    <xf numFmtId="0" fontId="71" fillId="52" borderId="0" xfId="98" applyNumberFormat="1" applyFont="1" applyFill="1" applyAlignment="1">
      <alignment vertical="center"/>
    </xf>
    <xf numFmtId="0" fontId="45" fillId="49" borderId="0" xfId="73" applyFont="1" applyFill="1" applyAlignment="1">
      <alignment horizontal="left" vertical="center"/>
    </xf>
    <xf numFmtId="0" fontId="57" fillId="49" borderId="0" xfId="70" applyFont="1" applyFill="1" applyAlignment="1">
      <alignment horizontal="left" vertical="center"/>
    </xf>
    <xf numFmtId="165" fontId="1" fillId="49" borderId="0" xfId="62" applyNumberFormat="1" applyFont="1" applyFill="1">
      <alignment vertical="top"/>
    </xf>
    <xf numFmtId="10" fontId="1" fillId="47" borderId="0" xfId="2" applyNumberFormat="1" applyFont="1" applyFill="1">
      <alignment vertical="top"/>
    </xf>
    <xf numFmtId="189" fontId="1" fillId="69" borderId="0" xfId="1" applyNumberFormat="1" applyFont="1" applyFill="1" applyAlignment="1">
      <alignment vertical="top"/>
    </xf>
    <xf numFmtId="165" fontId="58" fillId="0" borderId="0" xfId="98" applyFont="1" applyAlignment="1">
      <alignment vertical="top" wrapText="1"/>
    </xf>
    <xf numFmtId="176" fontId="1" fillId="47" borderId="0" xfId="2" applyFont="1" applyFill="1">
      <alignment vertical="top"/>
    </xf>
    <xf numFmtId="181" fontId="22" fillId="46" borderId="0" xfId="62" applyNumberFormat="1" applyFont="1" applyFill="1">
      <alignment vertical="top"/>
    </xf>
    <xf numFmtId="165" fontId="76" fillId="0" borderId="0" xfId="0" applyFont="1" applyFill="1">
      <alignment vertical="top"/>
    </xf>
    <xf numFmtId="180" fontId="76" fillId="0" borderId="0" xfId="62" applyNumberFormat="1" applyFont="1" applyFill="1">
      <alignment vertical="top"/>
    </xf>
    <xf numFmtId="176" fontId="76" fillId="0" borderId="0" xfId="2" applyFont="1" applyFill="1">
      <alignment vertical="top"/>
    </xf>
    <xf numFmtId="165" fontId="77" fillId="0" borderId="0" xfId="0" applyFont="1" applyFill="1">
      <alignment vertical="top"/>
    </xf>
    <xf numFmtId="165" fontId="76" fillId="0" borderId="0" xfId="0" applyFont="1">
      <alignment vertical="top"/>
    </xf>
    <xf numFmtId="0" fontId="77" fillId="0" borderId="0" xfId="0" applyNumberFormat="1" applyFont="1" applyFill="1">
      <alignment vertical="top"/>
    </xf>
    <xf numFmtId="180" fontId="14" fillId="60" borderId="0" xfId="62" applyNumberFormat="1" applyFont="1" applyFill="1">
      <alignment vertical="top"/>
    </xf>
    <xf numFmtId="0" fontId="76" fillId="0" borderId="0" xfId="0" applyNumberFormat="1" applyFont="1" applyFill="1">
      <alignment vertical="top"/>
    </xf>
    <xf numFmtId="165" fontId="76" fillId="0" borderId="0" xfId="0" quotePrefix="1" applyFont="1" applyFill="1">
      <alignment vertical="top"/>
    </xf>
    <xf numFmtId="187" fontId="76" fillId="0" borderId="0" xfId="0" applyNumberFormat="1" applyFont="1" applyFill="1">
      <alignment vertical="top"/>
    </xf>
    <xf numFmtId="0" fontId="18" fillId="0" borderId="13" xfId="70" applyFont="1" applyBorder="1" applyAlignment="1">
      <alignment horizontal="left" vertical="top" wrapText="1"/>
    </xf>
    <xf numFmtId="180" fontId="1" fillId="70" borderId="0" xfId="62" applyNumberFormat="1" applyFont="1" applyFill="1">
      <alignment vertical="top"/>
    </xf>
    <xf numFmtId="180" fontId="1" fillId="75" borderId="0" xfId="62" applyNumberFormat="1" applyFont="1" applyFill="1">
      <alignment vertical="top"/>
    </xf>
    <xf numFmtId="182" fontId="1" fillId="69" borderId="0" xfId="62" applyNumberFormat="1" applyFont="1" applyFill="1">
      <alignment vertical="top"/>
    </xf>
    <xf numFmtId="1" fontId="18" fillId="69" borderId="0" xfId="62" applyNumberFormat="1" applyFont="1" applyFill="1">
      <alignment vertical="top"/>
    </xf>
    <xf numFmtId="181" fontId="18" fillId="69" borderId="0" xfId="62" applyNumberFormat="1" applyFont="1" applyFill="1">
      <alignment vertical="top"/>
    </xf>
    <xf numFmtId="176" fontId="18" fillId="69" borderId="0" xfId="2" applyFont="1" applyFill="1">
      <alignment vertical="top"/>
    </xf>
    <xf numFmtId="165" fontId="53" fillId="0" borderId="0" xfId="0" applyFont="1" applyFill="1">
      <alignment vertical="top"/>
    </xf>
  </cellXfs>
  <cellStyles count="100">
    <cellStyle name="20% - Accent1" xfId="21" builtinId="30" hidden="1"/>
    <cellStyle name="20% - Accent2" xfId="25" builtinId="34" hidden="1"/>
    <cellStyle name="20% - Accent3" xfId="29" builtinId="38" hidden="1"/>
    <cellStyle name="20% - Accent4" xfId="33" builtinId="42" hidden="1"/>
    <cellStyle name="20% - Accent5" xfId="37" builtinId="46" hidden="1"/>
    <cellStyle name="20% - Accent6" xfId="41" builtinId="50" hidden="1"/>
    <cellStyle name="40% - Accent1" xfId="22" builtinId="31" hidden="1"/>
    <cellStyle name="40% - Accent2" xfId="26" builtinId="35" hidden="1"/>
    <cellStyle name="40% - Accent3" xfId="30" builtinId="39" hidden="1"/>
    <cellStyle name="40% - Accent4" xfId="34" builtinId="43" hidden="1"/>
    <cellStyle name="40% - Accent5" xfId="38" builtinId="47" hidden="1"/>
    <cellStyle name="40% - Accent6" xfId="42" builtinId="51" hidden="1"/>
    <cellStyle name="60% - Accent1" xfId="23" builtinId="32" hidden="1"/>
    <cellStyle name="60% - Accent2" xfId="27" builtinId="36" hidden="1"/>
    <cellStyle name="60% - Accent3" xfId="31" builtinId="40" hidden="1"/>
    <cellStyle name="60% - Accent4" xfId="35" builtinId="44" hidden="1"/>
    <cellStyle name="60% - Accent5" xfId="39" builtinId="48" hidden="1"/>
    <cellStyle name="60% - Accent6" xfId="43" builtinId="52" hidden="1"/>
    <cellStyle name="Accent1" xfId="20" builtinId="29" hidden="1"/>
    <cellStyle name="Accent2" xfId="24" builtinId="33" hidden="1"/>
    <cellStyle name="Accent3" xfId="28" builtinId="37" hidden="1"/>
    <cellStyle name="Accent4" xfId="32" builtinId="41" hidden="1"/>
    <cellStyle name="Accent5" xfId="36" builtinId="45" hidden="1"/>
    <cellStyle name="Accent6" xfId="40" builtinId="49" hidden="1"/>
    <cellStyle name="Bad" xfId="9" builtinId="27" hidden="1"/>
    <cellStyle name="Between-worksheet counter-flow" xfId="80" xr:uid="{00000000-0005-0000-0000-000019000000}"/>
    <cellStyle name="Calculation" xfId="13" builtinId="22" hidden="1"/>
    <cellStyle name="Calculation 2" xfId="90" xr:uid="{00000000-0005-0000-0000-00001B000000}"/>
    <cellStyle name="Check Cell" xfId="15" builtinId="23" hidden="1"/>
    <cellStyle name="Column 1" xfId="66" xr:uid="{00000000-0005-0000-0000-00001D000000}"/>
    <cellStyle name="Column 2 + 3" xfId="67" xr:uid="{00000000-0005-0000-0000-00001E000000}"/>
    <cellStyle name="Column 4" xfId="68" xr:uid="{00000000-0005-0000-0000-00001F000000}"/>
    <cellStyle name="Comma" xfId="1" builtinId="3" customBuiltin="1"/>
    <cellStyle name="Counterflow" xfId="54" xr:uid="{00000000-0005-0000-0000-000021000000}"/>
    <cellStyle name="DateLong" xfId="60" xr:uid="{00000000-0005-0000-0000-000022000000}"/>
    <cellStyle name="DateShort" xfId="61" xr:uid="{00000000-0005-0000-0000-000023000000}"/>
    <cellStyle name="Documentation" xfId="59" xr:uid="{00000000-0005-0000-0000-000024000000}"/>
    <cellStyle name="Empty cell" xfId="82" xr:uid="{00000000-0005-0000-0000-000025000000}"/>
    <cellStyle name="End of sheet" xfId="77" xr:uid="{00000000-0005-0000-0000-000026000000}"/>
    <cellStyle name="Explanatory Text" xfId="18" builtinId="53" hidden="1"/>
    <cellStyle name="Explanatory Text 2" xfId="91" xr:uid="{00000000-0005-0000-0000-000028000000}"/>
    <cellStyle name="Export" xfId="56" xr:uid="{00000000-0005-0000-0000-000029000000}"/>
    <cellStyle name="Exported to another sheet or section" xfId="78" xr:uid="{00000000-0005-0000-0000-00002A000000}"/>
    <cellStyle name="Factor" xfId="62" xr:uid="{00000000-0005-0000-0000-00002B000000}"/>
    <cellStyle name="Good" xfId="8" builtinId="26" hidden="1"/>
    <cellStyle name="Hard coded" xfId="57" xr:uid="{00000000-0005-0000-0000-00002D000000}"/>
    <cellStyle name="Hard coded output" xfId="81" xr:uid="{00000000-0005-0000-0000-00002E000000}"/>
    <cellStyle name="Heading 1" xfId="4" builtinId="16" hidden="1"/>
    <cellStyle name="Heading 1" xfId="75" builtinId="16"/>
    <cellStyle name="Heading 1 2" xfId="87" xr:uid="{00000000-0005-0000-0000-000031000000}"/>
    <cellStyle name="Heading 2" xfId="5" builtinId="17" hidden="1"/>
    <cellStyle name="Heading 2 2" xfId="88" xr:uid="{00000000-0005-0000-0000-000033000000}"/>
    <cellStyle name="Heading 3" xfId="6" builtinId="18" hidden="1"/>
    <cellStyle name="Heading 4" xfId="7" builtinId="19" hidden="1"/>
    <cellStyle name="Hyperlink" xfId="98" builtinId="8"/>
    <cellStyle name="Hyperlink 2" xfId="71" xr:uid="{00000000-0005-0000-0000-000036000000}"/>
    <cellStyle name="Hyperlink 3" xfId="74" xr:uid="{00000000-0005-0000-0000-000037000000}"/>
    <cellStyle name="Import" xfId="55" xr:uid="{00000000-0005-0000-0000-000038000000}"/>
    <cellStyle name="Input" xfId="11" builtinId="20" hidden="1"/>
    <cellStyle name="Input 2" xfId="92" xr:uid="{00000000-0005-0000-0000-00003A000000}"/>
    <cellStyle name="Level 1 Heading" xfId="63" xr:uid="{00000000-0005-0000-0000-00003B000000}"/>
    <cellStyle name="Level 2 Heading" xfId="64" xr:uid="{00000000-0005-0000-0000-00003C000000}"/>
    <cellStyle name="Level 3 Heading" xfId="65" xr:uid="{00000000-0005-0000-0000-00003D000000}"/>
    <cellStyle name="Linked Cell" xfId="14" builtinId="24" hidden="1"/>
    <cellStyle name="Linked Cell 2" xfId="89" xr:uid="{00000000-0005-0000-0000-00003F000000}"/>
    <cellStyle name="Neutral" xfId="10" builtinId="28" hidden="1"/>
    <cellStyle name="Normal" xfId="0" builtinId="0" customBuiltin="1"/>
    <cellStyle name="Normal 2" xfId="69" xr:uid="{00000000-0005-0000-0000-000042000000}"/>
    <cellStyle name="Normal 2 2" xfId="85" xr:uid="{00000000-0005-0000-0000-000043000000}"/>
    <cellStyle name="Normal 2 3" xfId="96" xr:uid="{2FB2C744-898C-403E-9AC8-4E9AD03A5ABF}"/>
    <cellStyle name="Normal 2 5" xfId="93" xr:uid="{00000000-0005-0000-0000-000044000000}"/>
    <cellStyle name="Normal 3" xfId="70" xr:uid="{00000000-0005-0000-0000-000045000000}"/>
    <cellStyle name="Normal 3 2" xfId="97" xr:uid="{2E745683-6764-47F2-A151-2E0A9CDFBB03}"/>
    <cellStyle name="Normal 4" xfId="95" xr:uid="{00000000-0005-0000-0000-000046000000}"/>
    <cellStyle name="Normal 5" xfId="99" xr:uid="{62F2B33A-D3E4-46BD-972A-5979C4C251C7}"/>
    <cellStyle name="Normal 7 2" xfId="94" xr:uid="{00000000-0005-0000-0000-000047000000}"/>
    <cellStyle name="Note" xfId="17" builtinId="10" hidden="1"/>
    <cellStyle name="Output" xfId="12" builtinId="21" hidden="1"/>
    <cellStyle name="Pantone 130C" xfId="47" xr:uid="{00000000-0005-0000-0000-00004A000000}"/>
    <cellStyle name="Pantone 179C" xfId="52" xr:uid="{00000000-0005-0000-0000-00004B000000}"/>
    <cellStyle name="Pantone 232C" xfId="51" xr:uid="{00000000-0005-0000-0000-00004C000000}"/>
    <cellStyle name="Pantone 2745C" xfId="50" xr:uid="{00000000-0005-0000-0000-00004D000000}"/>
    <cellStyle name="Pantone 279C" xfId="45" xr:uid="{00000000-0005-0000-0000-00004E000000}"/>
    <cellStyle name="Pantone 281C" xfId="44" xr:uid="{00000000-0005-0000-0000-00004F000000}"/>
    <cellStyle name="Pantone 451C" xfId="46" xr:uid="{00000000-0005-0000-0000-000050000000}"/>
    <cellStyle name="Pantone 583C" xfId="49" xr:uid="{00000000-0005-0000-0000-000051000000}"/>
    <cellStyle name="Pantone 633C" xfId="48" xr:uid="{00000000-0005-0000-0000-000052000000}"/>
    <cellStyle name="Percent" xfId="2" builtinId="5" customBuiltin="1"/>
    <cellStyle name="Percent [0]" xfId="58" xr:uid="{00000000-0005-0000-0000-000054000000}"/>
    <cellStyle name="Section separator" xfId="83" xr:uid="{00000000-0005-0000-0000-000055000000}"/>
    <cellStyle name="Title" xfId="3" builtinId="15" hidden="1"/>
    <cellStyle name="Title" xfId="73" builtinId="15"/>
    <cellStyle name="Title 2" xfId="86" xr:uid="{00000000-0005-0000-0000-000058000000}"/>
    <cellStyle name="To be reviewed or discussed" xfId="84" xr:uid="{00000000-0005-0000-0000-000059000000}"/>
    <cellStyle name="Total" xfId="19" builtinId="25" hidden="1"/>
    <cellStyle name="Warning Text" xfId="16" builtinId="11" customBuiltin="1"/>
    <cellStyle name="Warning Text 2" xfId="76" xr:uid="{00000000-0005-0000-0000-00005C000000}"/>
    <cellStyle name="WIP" xfId="53" xr:uid="{00000000-0005-0000-0000-00005D000000}"/>
    <cellStyle name="Within-worksheet counter-flow" xfId="79" xr:uid="{00000000-0005-0000-0000-00005E000000}"/>
    <cellStyle name="Year" xfId="72" xr:uid="{00000000-0005-0000-0000-00005F000000}"/>
  </cellStyles>
  <dxfs count="84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</dxfs>
  <tableStyles count="0" defaultTableStyle="TableStyleMedium2" defaultPivotStyle="PivotStyleLight16"/>
  <colors>
    <mruColors>
      <color rgb="FFFFF0D0"/>
      <color rgb="FFFCEABF"/>
      <color rgb="FFE1FAC2"/>
      <color rgb="FF0000FF"/>
      <color rgb="FFE0DCD8"/>
      <color rgb="FFB7D0FF"/>
      <color rgb="FF7FBBE4"/>
      <color rgb="FFD740A2"/>
      <color rgb="FF969696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228600</xdr:colOff>
      <xdr:row>2</xdr:row>
      <xdr:rowOff>38100</xdr:rowOff>
    </xdr:from>
    <xdr:ext cx="2821374" cy="76385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6080" y="701040"/>
          <a:ext cx="2821374" cy="7638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wat PPT">
  <a:themeElements>
    <a:clrScheme name="Ofwat">
      <a:dk1>
        <a:sysClr val="windowText" lastClr="000000"/>
      </a:dk1>
      <a:lt1>
        <a:sysClr val="window" lastClr="FFFFFF"/>
      </a:lt1>
      <a:dk2>
        <a:srgbClr val="003595"/>
      </a:dk2>
      <a:lt2>
        <a:srgbClr val="DCECF5"/>
      </a:lt2>
      <a:accent1>
        <a:srgbClr val="0071CE"/>
      </a:accent1>
      <a:accent2>
        <a:srgbClr val="63656A"/>
      </a:accent2>
      <a:accent3>
        <a:srgbClr val="FFB81D"/>
      </a:accent3>
      <a:accent4>
        <a:srgbClr val="62A70F"/>
      </a:accent4>
      <a:accent5>
        <a:srgbClr val="FF8772"/>
      </a:accent5>
      <a:accent6>
        <a:srgbClr val="D60037"/>
      </a:accent6>
      <a:hlink>
        <a:srgbClr val="0071CE"/>
      </a:hlink>
      <a:folHlink>
        <a:srgbClr val="94368D"/>
      </a:folHlink>
    </a:clrScheme>
    <a:fontScheme name="Ofwat">
      <a:majorFont>
        <a:latin typeface="Krub SemiBold"/>
        <a:ea typeface=""/>
        <a:cs typeface=""/>
      </a:majorFont>
      <a:minorFont>
        <a:latin typeface="Krub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none" lIns="0" tIns="0" rIns="0" bIns="0" rtlCol="0">
        <a:spAutoFit/>
      </a:bodyPr>
      <a:lstStyle>
        <a:defPPr>
          <a:defRPr dirty="0" err="1" smtClean="0">
            <a:solidFill>
              <a:schemeClr val="bg1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Ofwat PPT" id="{D06EF821-5838-42C1-9306-F5FEA921E25C}" vid="{704D4045-0AFB-4F99-9D5F-4111DEAA6D81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iew.officeapps.live.com/op/view.aspx?src=https%3A%2F%2Fwww.ofwat.gov.uk%2Fwp-content%2Fuploads%2F2024%2F06%2FPR19IPD04-in-period-adjustments-model-v1.4d_May2024.xlsx&amp;wdOrigin=BROWSELINK" TargetMode="External"/><Relationship Id="rId1" Type="http://schemas.openxmlformats.org/officeDocument/2006/relationships/hyperlink" Target="mailto:annual.reporting@ofwat.gov.uk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E570F-C588-4342-B4D3-FC8B74BA4B65}">
  <sheetPr>
    <tabColor theme="5" tint="0.79998168889431442"/>
    <pageSetUpPr fitToPage="1"/>
  </sheetPr>
  <dimension ref="A1:G40"/>
  <sheetViews>
    <sheetView showGridLines="0" tabSelected="1" zoomScale="80" zoomScaleNormal="80" zoomScaleSheetLayoutView="100" workbookViewId="0">
      <pane ySplit="1" topLeftCell="A2" activePane="bottomLeft" state="frozen"/>
      <selection activeCell="F7" sqref="F7"/>
      <selection pane="bottomLeft" activeCell="D11" sqref="D11"/>
    </sheetView>
  </sheetViews>
  <sheetFormatPr defaultColWidth="0" defaultRowHeight="12.75" zeroHeight="1" x14ac:dyDescent="0.2"/>
  <cols>
    <col min="1" max="1" width="26.375" style="219" customWidth="1"/>
    <col min="2" max="2" width="97.875" style="219" customWidth="1"/>
    <col min="3" max="3" width="21.125" style="219" customWidth="1"/>
    <col min="4" max="4" width="14.875" style="219" customWidth="1"/>
    <col min="5" max="5" width="5.125" style="219" customWidth="1"/>
    <col min="6" max="6" width="1.125" style="219" customWidth="1"/>
    <col min="7" max="7" width="0" style="219" hidden="1" customWidth="1"/>
    <col min="8" max="16384" width="9.125" style="219" hidden="1"/>
  </cols>
  <sheetData>
    <row r="1" spans="1:6" s="441" customFormat="1" ht="29.25" x14ac:dyDescent="0.2">
      <c r="A1" s="244" t="str">
        <f ca="1" xml:space="preserve"> RIGHT(CELL("filename", $A$1), LEN(CELL("filename", $A$1)) - SEARCH("]", CELL("filename", $A$1)))</f>
        <v>Cover</v>
      </c>
      <c r="B1" s="244"/>
      <c r="C1" s="244"/>
      <c r="D1" s="244"/>
      <c r="E1" s="244"/>
      <c r="F1" s="244"/>
    </row>
    <row r="2" spans="1:6" s="442" customFormat="1" ht="18" customHeight="1" x14ac:dyDescent="0.2">
      <c r="A2" s="245" t="s">
        <v>0</v>
      </c>
      <c r="B2" s="245" t="s">
        <v>1</v>
      </c>
      <c r="C2" s="245"/>
      <c r="D2" s="245"/>
      <c r="E2" s="245"/>
      <c r="F2" s="245"/>
    </row>
    <row r="3" spans="1:6" s="442" customFormat="1" ht="18" customHeight="1" x14ac:dyDescent="0.2">
      <c r="A3" s="245" t="s">
        <v>2</v>
      </c>
      <c r="B3" s="245" t="s">
        <v>3</v>
      </c>
      <c r="C3" s="245"/>
      <c r="D3" s="245"/>
      <c r="E3" s="245"/>
      <c r="F3" s="245"/>
    </row>
    <row r="4" spans="1:6" s="442" customFormat="1" ht="18" customHeight="1" x14ac:dyDescent="0.2">
      <c r="A4" s="245" t="s">
        <v>4</v>
      </c>
      <c r="B4" s="245" t="s">
        <v>5</v>
      </c>
      <c r="C4" s="245"/>
      <c r="D4" s="245"/>
      <c r="E4" s="245"/>
      <c r="F4" s="245"/>
    </row>
    <row r="5" spans="1:6" s="442" customFormat="1" ht="18" customHeight="1" x14ac:dyDescent="0.2">
      <c r="A5" s="245" t="s">
        <v>6</v>
      </c>
      <c r="B5" s="283">
        <v>45808</v>
      </c>
      <c r="C5" s="245"/>
      <c r="D5" s="245"/>
      <c r="E5" s="245"/>
      <c r="F5" s="245"/>
    </row>
    <row r="6" spans="1:6" s="442" customFormat="1" ht="18" customHeight="1" x14ac:dyDescent="0.2">
      <c r="A6" s="245" t="s">
        <v>7</v>
      </c>
      <c r="B6" s="245" t="s">
        <v>8</v>
      </c>
      <c r="C6" s="245"/>
      <c r="D6" s="245"/>
      <c r="E6" s="245"/>
      <c r="F6" s="245"/>
    </row>
    <row r="7" spans="1:6" s="442" customFormat="1" ht="24" customHeight="1" x14ac:dyDescent="0.2">
      <c r="A7" s="439" t="s">
        <v>9</v>
      </c>
      <c r="B7" s="440" t="s">
        <v>10</v>
      </c>
      <c r="C7" s="245"/>
      <c r="D7" s="245"/>
      <c r="E7" s="245"/>
      <c r="F7" s="245"/>
    </row>
    <row r="8" spans="1:6" x14ac:dyDescent="0.2"/>
    <row r="9" spans="1:6" ht="170.1" customHeight="1" x14ac:dyDescent="0.2">
      <c r="A9" s="246" t="s">
        <v>11</v>
      </c>
      <c r="B9" s="284" t="s">
        <v>12</v>
      </c>
    </row>
    <row r="10" spans="1:6" x14ac:dyDescent="0.2">
      <c r="A10" s="248"/>
      <c r="B10" s="248"/>
    </row>
    <row r="11" spans="1:6" ht="169.5" customHeight="1" x14ac:dyDescent="0.2">
      <c r="A11" s="246" t="s">
        <v>13</v>
      </c>
      <c r="B11" s="284" t="s">
        <v>14</v>
      </c>
    </row>
    <row r="12" spans="1:6" x14ac:dyDescent="0.2">
      <c r="A12" s="248"/>
      <c r="B12" s="248"/>
    </row>
    <row r="13" spans="1:6" ht="15.75" x14ac:dyDescent="0.2">
      <c r="A13" s="247" t="s">
        <v>15</v>
      </c>
      <c r="B13" s="249" t="s">
        <v>16</v>
      </c>
    </row>
    <row r="14" spans="1:6" x14ac:dyDescent="0.2">
      <c r="A14" s="248"/>
      <c r="B14" s="248"/>
    </row>
    <row r="15" spans="1:6" ht="15.75" x14ac:dyDescent="0.2">
      <c r="A15" s="247" t="s">
        <v>17</v>
      </c>
      <c r="B15" s="285" t="s">
        <v>18</v>
      </c>
    </row>
    <row r="16" spans="1:6" x14ac:dyDescent="0.2">
      <c r="A16" s="248"/>
      <c r="B16" s="248" t="s">
        <v>19</v>
      </c>
    </row>
    <row r="17" spans="1:7" ht="15.75" x14ac:dyDescent="0.2">
      <c r="A17" s="247" t="s">
        <v>20</v>
      </c>
      <c r="B17" s="249" t="s">
        <v>16</v>
      </c>
    </row>
    <row r="18" spans="1:7" x14ac:dyDescent="0.2">
      <c r="A18" s="248"/>
      <c r="B18" s="248"/>
    </row>
    <row r="19" spans="1:7" ht="15.75" x14ac:dyDescent="0.2">
      <c r="A19" s="247" t="s">
        <v>21</v>
      </c>
      <c r="B19" s="225"/>
    </row>
    <row r="20" spans="1:7" x14ac:dyDescent="0.2">
      <c r="A20" s="248"/>
      <c r="B20" s="248"/>
    </row>
    <row r="21" spans="1:7" s="225" customFormat="1" ht="18" customHeight="1" x14ac:dyDescent="0.2">
      <c r="A21" s="250" t="s">
        <v>22</v>
      </c>
      <c r="B21" s="250" t="s">
        <v>23</v>
      </c>
      <c r="C21" s="250" t="s">
        <v>24</v>
      </c>
      <c r="D21" s="250" t="s">
        <v>25</v>
      </c>
      <c r="E21" s="227"/>
      <c r="F21" s="227"/>
    </row>
    <row r="22" spans="1:7" ht="43.9" customHeight="1" x14ac:dyDescent="0.2">
      <c r="A22" s="251" t="s">
        <v>26</v>
      </c>
      <c r="B22" s="251" t="s">
        <v>27</v>
      </c>
      <c r="C22" s="446" t="s">
        <v>28</v>
      </c>
      <c r="D22" s="251" t="s">
        <v>29</v>
      </c>
      <c r="E22" s="226"/>
      <c r="F22" s="226"/>
    </row>
    <row r="23" spans="1:7" ht="15" customHeight="1" x14ac:dyDescent="0.2">
      <c r="A23" s="251" t="s">
        <v>30</v>
      </c>
      <c r="B23" s="251" t="s">
        <v>31</v>
      </c>
      <c r="C23" s="251" t="s">
        <v>32</v>
      </c>
      <c r="D23" s="251" t="s">
        <v>3</v>
      </c>
      <c r="E23" s="226"/>
      <c r="F23" s="226"/>
    </row>
    <row r="24" spans="1:7" ht="25.5" x14ac:dyDescent="0.2">
      <c r="A24" s="251" t="s">
        <v>33</v>
      </c>
      <c r="B24" s="251" t="s">
        <v>34</v>
      </c>
      <c r="C24" s="251" t="s">
        <v>35</v>
      </c>
      <c r="D24" s="251" t="s">
        <v>3</v>
      </c>
      <c r="E24" s="226"/>
      <c r="F24" s="226"/>
    </row>
    <row r="25" spans="1:7" ht="15" customHeight="1" x14ac:dyDescent="0.2">
      <c r="A25" s="256" t="s">
        <v>36</v>
      </c>
      <c r="B25" s="256" t="s">
        <v>37</v>
      </c>
      <c r="C25" s="256" t="s">
        <v>38</v>
      </c>
      <c r="D25" s="256" t="s">
        <v>3</v>
      </c>
      <c r="E25" s="226"/>
      <c r="F25" s="226"/>
    </row>
    <row r="26" spans="1:7" ht="15" customHeight="1" x14ac:dyDescent="0.2">
      <c r="A26" s="256" t="s">
        <v>39</v>
      </c>
      <c r="B26" s="256" t="s">
        <v>40</v>
      </c>
      <c r="C26" s="256" t="s">
        <v>41</v>
      </c>
      <c r="D26" s="256" t="s">
        <v>3</v>
      </c>
      <c r="E26" s="226"/>
      <c r="F26" s="226"/>
    </row>
    <row r="27" spans="1:7" ht="25.5" x14ac:dyDescent="0.2">
      <c r="A27" s="256" t="s">
        <v>39</v>
      </c>
      <c r="B27" s="256" t="s">
        <v>42</v>
      </c>
      <c r="C27" s="256" t="s">
        <v>43</v>
      </c>
      <c r="D27" s="256" t="s">
        <v>3</v>
      </c>
      <c r="E27" s="226"/>
      <c r="F27" s="226"/>
    </row>
    <row r="28" spans="1:7" ht="25.5" x14ac:dyDescent="0.2">
      <c r="A28" s="256" t="s">
        <v>39</v>
      </c>
      <c r="B28" s="256" t="s">
        <v>44</v>
      </c>
      <c r="C28" s="256" t="s">
        <v>45</v>
      </c>
      <c r="D28" s="256" t="s">
        <v>3</v>
      </c>
      <c r="E28" s="226"/>
      <c r="F28" s="226"/>
    </row>
    <row r="29" spans="1:7" ht="25.5" x14ac:dyDescent="0.2">
      <c r="A29" s="256" t="s">
        <v>46</v>
      </c>
      <c r="B29" s="256" t="s">
        <v>47</v>
      </c>
      <c r="C29" s="256" t="s">
        <v>48</v>
      </c>
      <c r="D29" s="256" t="s">
        <v>3</v>
      </c>
      <c r="E29" s="338"/>
      <c r="F29" s="338"/>
    </row>
    <row r="30" spans="1:7" ht="15" customHeight="1" x14ac:dyDescent="0.2">
      <c r="A30" s="256" t="s">
        <v>39</v>
      </c>
      <c r="B30" s="459" t="s">
        <v>49</v>
      </c>
      <c r="C30" s="256" t="s">
        <v>50</v>
      </c>
      <c r="D30" s="256" t="s">
        <v>3</v>
      </c>
      <c r="E30" s="338"/>
      <c r="F30" s="338"/>
    </row>
    <row r="31" spans="1:7" ht="51" x14ac:dyDescent="0.2">
      <c r="A31" s="256" t="s">
        <v>51</v>
      </c>
      <c r="B31" s="256" t="s">
        <v>52</v>
      </c>
      <c r="C31" s="256" t="s">
        <v>53</v>
      </c>
      <c r="D31" s="256" t="s">
        <v>3</v>
      </c>
      <c r="E31" s="338"/>
      <c r="F31" s="338"/>
    </row>
    <row r="32" spans="1:7" ht="15" customHeight="1" x14ac:dyDescent="0.2">
      <c r="A32" s="256" t="s">
        <v>54</v>
      </c>
      <c r="B32" s="256" t="s">
        <v>55</v>
      </c>
      <c r="C32" s="256" t="s">
        <v>56</v>
      </c>
      <c r="D32" s="256" t="s">
        <v>3</v>
      </c>
      <c r="E32" s="338"/>
      <c r="F32" s="338"/>
      <c r="G32" s="226"/>
    </row>
    <row r="33" spans="1:7" ht="15" customHeight="1" x14ac:dyDescent="0.2">
      <c r="A33" s="256" t="s">
        <v>57</v>
      </c>
      <c r="B33" s="256" t="s">
        <v>58</v>
      </c>
      <c r="C33" s="256" t="s">
        <v>48</v>
      </c>
      <c r="D33" s="256" t="s">
        <v>3</v>
      </c>
      <c r="E33" s="338"/>
      <c r="F33" s="338"/>
      <c r="G33" s="226"/>
    </row>
    <row r="34" spans="1:7" ht="15" customHeight="1" x14ac:dyDescent="0.2">
      <c r="A34" s="256"/>
      <c r="B34" s="256"/>
      <c r="C34" s="256"/>
      <c r="D34" s="256"/>
      <c r="E34" s="338"/>
      <c r="F34" s="338"/>
      <c r="G34" s="226"/>
    </row>
    <row r="35" spans="1:7" ht="15" customHeight="1" x14ac:dyDescent="0.2">
      <c r="A35" s="256"/>
      <c r="B35" s="256"/>
      <c r="C35" s="256"/>
      <c r="D35" s="256"/>
      <c r="E35" s="338"/>
      <c r="F35" s="338"/>
      <c r="G35" s="226"/>
    </row>
    <row r="36" spans="1:7" ht="9" customHeight="1" x14ac:dyDescent="0.2">
      <c r="A36" s="226"/>
      <c r="B36" s="226"/>
      <c r="C36" s="226"/>
      <c r="D36" s="226"/>
      <c r="E36" s="226"/>
      <c r="F36" s="226"/>
    </row>
    <row r="37" spans="1:7" s="402" customFormat="1" ht="13.5" x14ac:dyDescent="0.25">
      <c r="A37" s="208" t="s">
        <v>59</v>
      </c>
      <c r="B37" s="208"/>
      <c r="C37" s="208"/>
      <c r="D37" s="208"/>
      <c r="E37" s="208"/>
      <c r="F37" s="208"/>
    </row>
    <row r="38" spans="1:7" x14ac:dyDescent="0.2"/>
    <row r="39" spans="1:7" x14ac:dyDescent="0.2"/>
    <row r="40" spans="1:7" x14ac:dyDescent="0.2"/>
  </sheetData>
  <hyperlinks>
    <hyperlink ref="B7" r:id="rId1" xr:uid="{14939963-5392-458C-B7AD-FA02FA429207}"/>
    <hyperlink ref="C22" r:id="rId2" display="https://view.officeapps.live.com/op/view.aspx?src=https%3A%2F%2Fwww.ofwat.gov.uk%2Fwp-content%2Fuploads%2F2024%2F06%2FPR19IPD04-in-period-adjustments-model-v1.4d_May2024.xlsx&amp;wdOrigin=BROWSELINK" xr:uid="{03185942-8DE7-4C2C-B6EB-68DCA388E2B5}"/>
  </hyperlinks>
  <pageMargins left="0.70866141732283472" right="0.70866141732283472" top="0.74803149606299213" bottom="0.74803149606299213" header="0.31496062992125984" footer="0.31496062992125984"/>
  <pageSetup paperSize="9" scale="44" orientation="landscape" r:id="rId3"/>
  <headerFooter>
    <oddHeader xml:space="preserve">&amp;L&amp;F &amp;CSheet: &amp;A &amp;ROFFICIAL </oddHeader>
    <oddFooter xml:space="preserve">&amp;L&amp;D at &amp;T &amp;C&amp;P of &amp;N &amp;ROfwat 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5F37-8CE7-4D23-A6A9-A8281610FDAD}">
  <sheetPr codeName="Sheet6">
    <tabColor rgb="FF857362"/>
    <outlinePr summaryBelow="0" summaryRight="0"/>
    <pageSetUpPr fitToPage="1"/>
  </sheetPr>
  <dimension ref="A1:CA109"/>
  <sheetViews>
    <sheetView showGridLines="0" zoomScale="80" zoomScaleNormal="80" workbookViewId="0">
      <pane xSplit="9" ySplit="5" topLeftCell="J24" activePane="bottomRight" state="frozen"/>
      <selection pane="topRight" activeCell="B4" sqref="B4"/>
      <selection pane="bottomLeft" activeCell="B4" sqref="B4"/>
      <selection pane="bottomRight"/>
    </sheetView>
  </sheetViews>
  <sheetFormatPr defaultColWidth="9.625" defaultRowHeight="12.75" zeroHeight="1" x14ac:dyDescent="0.2"/>
  <cols>
    <col min="1" max="1" width="1.625" style="20" customWidth="1"/>
    <col min="2" max="2" width="1.625" style="21" customWidth="1"/>
    <col min="3" max="3" width="1.625" style="22" customWidth="1"/>
    <col min="4" max="4" width="1.625" style="23" customWidth="1"/>
    <col min="5" max="5" width="45.625" style="7" customWidth="1"/>
    <col min="6" max="8" width="15.625" style="30" customWidth="1"/>
    <col min="9" max="9" width="2.625" style="30" customWidth="1"/>
    <col min="10" max="22" width="9.625" style="30" customWidth="1"/>
    <col min="23" max="16384" width="9.625" style="30"/>
  </cols>
  <sheetData>
    <row r="1" spans="1:79" s="84" customFormat="1" ht="29.25" x14ac:dyDescent="0.2">
      <c r="A1" s="111" t="str">
        <f ca="1" xml:space="preserve"> RIGHT(CELL("filename", $A$1), LEN(CELL("filename", $A$1)) - SEARCH("]", CELL("filename", $A$1)))</f>
        <v>Time</v>
      </c>
      <c r="B1" s="111"/>
      <c r="C1" s="111"/>
      <c r="D1" s="111"/>
      <c r="E1" s="111"/>
      <c r="F1" s="111"/>
      <c r="G1" s="111"/>
      <c r="H1" s="392" t="str">
        <f>InpActive!F9</f>
        <v>Anglian Water</v>
      </c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1:79" s="14" customFormat="1" x14ac:dyDescent="0.2">
      <c r="A2" s="8"/>
      <c r="B2" s="9"/>
      <c r="C2" s="10"/>
      <c r="D2" s="11"/>
      <c r="E2" s="12" t="str">
        <f>Time!E$22</f>
        <v>Model Period END</v>
      </c>
      <c r="F2" s="13"/>
      <c r="G2" s="13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</row>
    <row r="3" spans="1:79" s="19" customFormat="1" x14ac:dyDescent="0.2">
      <c r="A3" s="15"/>
      <c r="B3" s="16"/>
      <c r="C3" s="17"/>
      <c r="D3" s="18"/>
      <c r="E3" s="12" t="str">
        <f>Time!E$79</f>
        <v>Pre Forecast vs Forecast</v>
      </c>
      <c r="F3" s="13"/>
      <c r="G3" s="13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</row>
    <row r="4" spans="1:79" s="117" customFormat="1" x14ac:dyDescent="0.2">
      <c r="A4" s="112"/>
      <c r="B4" s="113"/>
      <c r="C4" s="114"/>
      <c r="D4" s="115"/>
      <c r="E4" s="12" t="str">
        <f>Time!E$106</f>
        <v>Financial Year Ending</v>
      </c>
      <c r="F4" s="116"/>
      <c r="G4" s="116"/>
      <c r="H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79" s="29" customFormat="1" x14ac:dyDescent="0.2">
      <c r="A5" s="25"/>
      <c r="B5" s="26"/>
      <c r="C5" s="27"/>
      <c r="D5" s="28"/>
      <c r="E5" s="12" t="str">
        <f>Time!E$10</f>
        <v>Model column counter</v>
      </c>
      <c r="F5" s="19" t="s">
        <v>532</v>
      </c>
      <c r="G5" s="19" t="s">
        <v>186</v>
      </c>
      <c r="H5" s="19" t="s">
        <v>533</v>
      </c>
      <c r="I5" s="24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</row>
    <row r="6" spans="1:79" s="29" customFormat="1" x14ac:dyDescent="0.2">
      <c r="A6" s="25"/>
      <c r="B6" s="26"/>
      <c r="C6" s="27"/>
      <c r="D6" s="28"/>
      <c r="E6" s="12"/>
      <c r="F6" s="19"/>
      <c r="G6" s="19"/>
      <c r="H6" s="19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</row>
    <row r="7" spans="1:79" s="209" customFormat="1" ht="13.5" x14ac:dyDescent="0.25">
      <c r="A7" s="209" t="s">
        <v>637</v>
      </c>
    </row>
    <row r="8" spans="1:79" x14ac:dyDescent="0.2"/>
    <row r="9" spans="1:79" s="32" customFormat="1" x14ac:dyDescent="0.2">
      <c r="A9" s="15"/>
      <c r="B9" s="16" t="s">
        <v>638</v>
      </c>
      <c r="C9" s="17"/>
      <c r="D9" s="18"/>
      <c r="E9" s="31"/>
      <c r="G9" s="33"/>
    </row>
    <row r="10" spans="1:79" s="38" customFormat="1" x14ac:dyDescent="0.2">
      <c r="A10" s="34"/>
      <c r="B10" s="35"/>
      <c r="C10" s="36"/>
      <c r="D10" s="37"/>
      <c r="E10" s="7" t="s">
        <v>639</v>
      </c>
      <c r="G10" s="38" t="s">
        <v>640</v>
      </c>
      <c r="J10" s="38">
        <f xml:space="preserve"> I10 + 1</f>
        <v>1</v>
      </c>
      <c r="K10" s="38">
        <f t="shared" ref="K10:X10" si="0" xml:space="preserve"> J10 + 1</f>
        <v>2</v>
      </c>
      <c r="L10" s="38">
        <f t="shared" si="0"/>
        <v>3</v>
      </c>
      <c r="M10" s="38">
        <f t="shared" si="0"/>
        <v>4</v>
      </c>
      <c r="N10" s="38">
        <f t="shared" si="0"/>
        <v>5</v>
      </c>
      <c r="O10" s="38">
        <f t="shared" si="0"/>
        <v>6</v>
      </c>
      <c r="P10" s="38">
        <f t="shared" si="0"/>
        <v>7</v>
      </c>
      <c r="Q10" s="38">
        <f t="shared" si="0"/>
        <v>8</v>
      </c>
      <c r="R10" s="38">
        <f t="shared" si="0"/>
        <v>9</v>
      </c>
      <c r="S10" s="38">
        <f t="shared" si="0"/>
        <v>10</v>
      </c>
      <c r="T10" s="38">
        <f t="shared" si="0"/>
        <v>11</v>
      </c>
      <c r="U10" s="38">
        <f t="shared" si="0"/>
        <v>12</v>
      </c>
      <c r="V10" s="38">
        <f t="shared" si="0"/>
        <v>13</v>
      </c>
      <c r="W10" s="38">
        <f t="shared" si="0"/>
        <v>14</v>
      </c>
      <c r="X10" s="38">
        <f t="shared" si="0"/>
        <v>15</v>
      </c>
    </row>
    <row r="11" spans="1:79" x14ac:dyDescent="0.2">
      <c r="E11" s="7" t="s">
        <v>641</v>
      </c>
      <c r="F11" s="30">
        <f xml:space="preserve"> MAX(J10:CA10)</f>
        <v>15</v>
      </c>
      <c r="G11" s="30" t="s">
        <v>642</v>
      </c>
    </row>
    <row r="12" spans="1:79" x14ac:dyDescent="0.2"/>
    <row r="13" spans="1:79" s="43" customFormat="1" x14ac:dyDescent="0.2">
      <c r="A13" s="39"/>
      <c r="B13" s="40"/>
      <c r="C13" s="41"/>
      <c r="D13" s="42"/>
      <c r="E13" s="7" t="str">
        <f t="shared" ref="E13:X13" si="1" xml:space="preserve"> E$10</f>
        <v>Model column counter</v>
      </c>
      <c r="F13" s="43">
        <f xml:space="preserve"> F$10</f>
        <v>0</v>
      </c>
      <c r="G13" s="43" t="str">
        <f t="shared" si="1"/>
        <v>counter</v>
      </c>
      <c r="H13" s="43">
        <f t="shared" si="1"/>
        <v>0</v>
      </c>
      <c r="I13" s="43">
        <f t="shared" si="1"/>
        <v>0</v>
      </c>
      <c r="J13" s="43">
        <f xml:space="preserve"> J$10</f>
        <v>1</v>
      </c>
      <c r="K13" s="43">
        <f t="shared" si="1"/>
        <v>2</v>
      </c>
      <c r="L13" s="43">
        <f t="shared" si="1"/>
        <v>3</v>
      </c>
      <c r="M13" s="43">
        <f t="shared" si="1"/>
        <v>4</v>
      </c>
      <c r="N13" s="43">
        <f t="shared" si="1"/>
        <v>5</v>
      </c>
      <c r="O13" s="43">
        <f t="shared" si="1"/>
        <v>6</v>
      </c>
      <c r="P13" s="43">
        <f t="shared" si="1"/>
        <v>7</v>
      </c>
      <c r="Q13" s="43">
        <f t="shared" si="1"/>
        <v>8</v>
      </c>
      <c r="R13" s="43">
        <f t="shared" si="1"/>
        <v>9</v>
      </c>
      <c r="S13" s="43">
        <f t="shared" si="1"/>
        <v>10</v>
      </c>
      <c r="T13" s="43">
        <f t="shared" si="1"/>
        <v>11</v>
      </c>
      <c r="U13" s="43">
        <f t="shared" si="1"/>
        <v>12</v>
      </c>
      <c r="V13" s="43">
        <f t="shared" si="1"/>
        <v>13</v>
      </c>
      <c r="W13" s="43">
        <f t="shared" si="1"/>
        <v>14</v>
      </c>
      <c r="X13" s="43">
        <f t="shared" si="1"/>
        <v>15</v>
      </c>
    </row>
    <row r="14" spans="1:79" x14ac:dyDescent="0.2">
      <c r="E14" s="7" t="s">
        <v>643</v>
      </c>
      <c r="G14" s="30" t="s">
        <v>644</v>
      </c>
      <c r="H14" s="30">
        <f xml:space="preserve"> SUM(J14:CA14)</f>
        <v>1</v>
      </c>
      <c r="J14" s="30">
        <f xml:space="preserve"> IF( J13 = 1, 1, 0)</f>
        <v>1</v>
      </c>
      <c r="K14" s="30">
        <f t="shared" ref="K14:S14" si="2" xml:space="preserve"> IF( K13 = 1, 1, 0)</f>
        <v>0</v>
      </c>
      <c r="L14" s="30">
        <f t="shared" si="2"/>
        <v>0</v>
      </c>
      <c r="M14" s="30">
        <f t="shared" si="2"/>
        <v>0</v>
      </c>
      <c r="N14" s="30">
        <f t="shared" si="2"/>
        <v>0</v>
      </c>
      <c r="O14" s="30">
        <f t="shared" si="2"/>
        <v>0</v>
      </c>
      <c r="P14" s="30">
        <f t="shared" si="2"/>
        <v>0</v>
      </c>
      <c r="Q14" s="30">
        <f t="shared" si="2"/>
        <v>0</v>
      </c>
      <c r="R14" s="30">
        <f t="shared" si="2"/>
        <v>0</v>
      </c>
      <c r="S14" s="30">
        <f t="shared" si="2"/>
        <v>0</v>
      </c>
      <c r="T14" s="30">
        <f xml:space="preserve"> IF( T13 = 1, 1, 0)</f>
        <v>0</v>
      </c>
      <c r="U14" s="30">
        <f xml:space="preserve"> IF( U13 = 1, 1, 0)</f>
        <v>0</v>
      </c>
      <c r="V14" s="30">
        <f xml:space="preserve"> IF( V13 = 1, 1, 0)</f>
        <v>0</v>
      </c>
      <c r="W14" s="30">
        <f xml:space="preserve"> IF( W13 = 1, 1, 0)</f>
        <v>0</v>
      </c>
      <c r="X14" s="30">
        <f xml:space="preserve"> IF( X13 = 1, 1, 0)</f>
        <v>0</v>
      </c>
    </row>
    <row r="15" spans="1:79" x14ac:dyDescent="0.2"/>
    <row r="16" spans="1:79" s="49" customFormat="1" x14ac:dyDescent="0.2">
      <c r="A16" s="44"/>
      <c r="B16" s="45"/>
      <c r="C16" s="46"/>
      <c r="D16" s="47"/>
      <c r="E16" s="287" t="str">
        <f xml:space="preserve"> InpActive!E$152</f>
        <v>First date of time ruler</v>
      </c>
      <c r="F16" s="288">
        <f xml:space="preserve"> InpActive!F$152</f>
        <v>42095</v>
      </c>
      <c r="G16" s="288" t="str">
        <f xml:space="preserve"> InpActive!G$152</f>
        <v>date</v>
      </c>
    </row>
    <row r="17" spans="1:79" s="50" customFormat="1" x14ac:dyDescent="0.2">
      <c r="A17" s="44"/>
      <c r="B17" s="45"/>
      <c r="C17" s="46"/>
      <c r="D17" s="47"/>
      <c r="E17" s="7" t="s">
        <v>645</v>
      </c>
      <c r="F17" s="50">
        <f xml:space="preserve"> DATE(YEAR(F16), MONTH(F16), 1)</f>
        <v>42095</v>
      </c>
      <c r="G17" s="50" t="s">
        <v>646</v>
      </c>
    </row>
    <row r="18" spans="1:79" s="49" customFormat="1" x14ac:dyDescent="0.2">
      <c r="A18" s="44"/>
      <c r="B18" s="45"/>
      <c r="C18" s="46"/>
      <c r="D18" s="47"/>
      <c r="E18" s="48"/>
    </row>
    <row r="19" spans="1:79" s="50" customFormat="1" x14ac:dyDescent="0.2">
      <c r="A19" s="44"/>
      <c r="B19" s="45"/>
      <c r="C19" s="46"/>
      <c r="D19" s="47"/>
      <c r="E19" s="7" t="str">
        <f xml:space="preserve"> E$17</f>
        <v>First model period BEG</v>
      </c>
      <c r="F19" s="50">
        <f xml:space="preserve"> F$17</f>
        <v>42095</v>
      </c>
      <c r="G19" s="50" t="str">
        <f xml:space="preserve"> G$17</f>
        <v>month</v>
      </c>
    </row>
    <row r="20" spans="1:79" x14ac:dyDescent="0.2">
      <c r="E20" s="7" t="str">
        <f t="shared" ref="E20:X20" si="3" xml:space="preserve"> E$14</f>
        <v>First model column flag</v>
      </c>
      <c r="F20" s="30">
        <f t="shared" si="3"/>
        <v>0</v>
      </c>
      <c r="G20" s="30" t="str">
        <f t="shared" si="3"/>
        <v>flag</v>
      </c>
      <c r="H20" s="30">
        <f t="shared" si="3"/>
        <v>1</v>
      </c>
      <c r="I20" s="30">
        <f t="shared" si="3"/>
        <v>0</v>
      </c>
      <c r="J20" s="30">
        <f t="shared" si="3"/>
        <v>1</v>
      </c>
      <c r="K20" s="30">
        <f t="shared" si="3"/>
        <v>0</v>
      </c>
      <c r="L20" s="30">
        <f t="shared" si="3"/>
        <v>0</v>
      </c>
      <c r="M20" s="30">
        <f t="shared" si="3"/>
        <v>0</v>
      </c>
      <c r="N20" s="30">
        <f t="shared" si="3"/>
        <v>0</v>
      </c>
      <c r="O20" s="30">
        <f t="shared" si="3"/>
        <v>0</v>
      </c>
      <c r="P20" s="30">
        <f t="shared" si="3"/>
        <v>0</v>
      </c>
      <c r="Q20" s="30">
        <f t="shared" si="3"/>
        <v>0</v>
      </c>
      <c r="R20" s="30">
        <f t="shared" si="3"/>
        <v>0</v>
      </c>
      <c r="S20" s="30">
        <f t="shared" si="3"/>
        <v>0</v>
      </c>
      <c r="T20" s="30">
        <f t="shared" si="3"/>
        <v>0</v>
      </c>
      <c r="U20" s="30">
        <f t="shared" si="3"/>
        <v>0</v>
      </c>
      <c r="V20" s="30">
        <f t="shared" si="3"/>
        <v>0</v>
      </c>
      <c r="W20" s="30">
        <f t="shared" si="3"/>
        <v>0</v>
      </c>
      <c r="X20" s="30">
        <f t="shared" si="3"/>
        <v>0</v>
      </c>
    </row>
    <row r="21" spans="1:79" s="55" customFormat="1" x14ac:dyDescent="0.2">
      <c r="A21" s="51"/>
      <c r="B21" s="52"/>
      <c r="C21" s="53"/>
      <c r="D21" s="54"/>
      <c r="E21" s="7" t="s">
        <v>647</v>
      </c>
      <c r="G21" s="55" t="s">
        <v>611</v>
      </c>
      <c r="J21" s="55">
        <f t="shared" ref="J21:X21" si="4" xml:space="preserve"> IF( J20 = 1, $F19, I22 + 1)</f>
        <v>42095</v>
      </c>
      <c r="K21" s="55">
        <f t="shared" si="4"/>
        <v>42461</v>
      </c>
      <c r="L21" s="55">
        <f t="shared" si="4"/>
        <v>42826</v>
      </c>
      <c r="M21" s="55">
        <f t="shared" si="4"/>
        <v>43191</v>
      </c>
      <c r="N21" s="55">
        <f t="shared" si="4"/>
        <v>43556</v>
      </c>
      <c r="O21" s="55">
        <f t="shared" si="4"/>
        <v>43922</v>
      </c>
      <c r="P21" s="55">
        <f t="shared" si="4"/>
        <v>44287</v>
      </c>
      <c r="Q21" s="55">
        <f t="shared" si="4"/>
        <v>44652</v>
      </c>
      <c r="R21" s="55">
        <f t="shared" si="4"/>
        <v>45017</v>
      </c>
      <c r="S21" s="55">
        <f t="shared" si="4"/>
        <v>45383</v>
      </c>
      <c r="T21" s="55">
        <f t="shared" si="4"/>
        <v>45748</v>
      </c>
      <c r="U21" s="55">
        <f t="shared" si="4"/>
        <v>46113</v>
      </c>
      <c r="V21" s="55">
        <f t="shared" si="4"/>
        <v>46478</v>
      </c>
      <c r="W21" s="55">
        <f t="shared" si="4"/>
        <v>46844</v>
      </c>
      <c r="X21" s="55">
        <f t="shared" si="4"/>
        <v>47209</v>
      </c>
    </row>
    <row r="22" spans="1:79" s="58" customFormat="1" x14ac:dyDescent="0.2">
      <c r="A22" s="51"/>
      <c r="B22" s="52"/>
      <c r="C22" s="53"/>
      <c r="D22" s="54"/>
      <c r="E22" s="56" t="s">
        <v>648</v>
      </c>
      <c r="F22" s="57"/>
      <c r="G22" s="58" t="s">
        <v>611</v>
      </c>
      <c r="J22" s="58">
        <f t="shared" ref="J22:S22" si="5" xml:space="preserve"> DATE(YEAR(J21), MONTH(J21) + 12, DAY(1) - 1)</f>
        <v>42460</v>
      </c>
      <c r="K22" s="58">
        <f t="shared" si="5"/>
        <v>42825</v>
      </c>
      <c r="L22" s="58">
        <f t="shared" si="5"/>
        <v>43190</v>
      </c>
      <c r="M22" s="58">
        <f t="shared" si="5"/>
        <v>43555</v>
      </c>
      <c r="N22" s="58">
        <f t="shared" si="5"/>
        <v>43921</v>
      </c>
      <c r="O22" s="58">
        <f t="shared" si="5"/>
        <v>44286</v>
      </c>
      <c r="P22" s="58">
        <f t="shared" si="5"/>
        <v>44651</v>
      </c>
      <c r="Q22" s="58">
        <f t="shared" si="5"/>
        <v>45016</v>
      </c>
      <c r="R22" s="58">
        <f t="shared" si="5"/>
        <v>45382</v>
      </c>
      <c r="S22" s="58">
        <f t="shared" si="5"/>
        <v>45747</v>
      </c>
      <c r="T22" s="58">
        <f xml:space="preserve"> DATE(YEAR(T21), MONTH(T21) + 12, DAY(1) - 1)</f>
        <v>46112</v>
      </c>
      <c r="U22" s="58">
        <f xml:space="preserve"> DATE(YEAR(U21), MONTH(U21) + 12, DAY(1) - 1)</f>
        <v>46477</v>
      </c>
      <c r="V22" s="58">
        <f xml:space="preserve"> DATE(YEAR(V21), MONTH(V21) + 12, DAY(1) - 1)</f>
        <v>46843</v>
      </c>
      <c r="W22" s="58">
        <f xml:space="preserve"> DATE(YEAR(W21), MONTH(W21) + 12, DAY(1) - 1)</f>
        <v>47208</v>
      </c>
      <c r="X22" s="58">
        <f xml:space="preserve"> DATE(YEAR(X21), MONTH(X21) + 12, DAY(1) - 1)</f>
        <v>47573</v>
      </c>
    </row>
    <row r="23" spans="1:79" s="55" customFormat="1" x14ac:dyDescent="0.2">
      <c r="A23" s="51"/>
      <c r="B23" s="52"/>
      <c r="C23" s="53"/>
      <c r="D23" s="54"/>
      <c r="E23" s="7"/>
    </row>
    <row r="24" spans="1:79" s="55" customFormat="1" x14ac:dyDescent="0.2">
      <c r="A24" s="51"/>
      <c r="B24" s="52"/>
      <c r="C24" s="53"/>
      <c r="D24" s="54"/>
      <c r="E24" s="7" t="str">
        <f t="shared" ref="E24:X24" si="6" xml:space="preserve"> E$22</f>
        <v>Model Period END</v>
      </c>
      <c r="F24" s="55">
        <f t="shared" si="6"/>
        <v>0</v>
      </c>
      <c r="G24" s="55" t="str">
        <f t="shared" si="6"/>
        <v>date</v>
      </c>
      <c r="H24" s="55">
        <f t="shared" si="6"/>
        <v>0</v>
      </c>
      <c r="I24" s="55">
        <f t="shared" si="6"/>
        <v>0</v>
      </c>
      <c r="J24" s="55">
        <f t="shared" si="6"/>
        <v>42460</v>
      </c>
      <c r="K24" s="55">
        <f t="shared" si="6"/>
        <v>42825</v>
      </c>
      <c r="L24" s="55">
        <f t="shared" si="6"/>
        <v>43190</v>
      </c>
      <c r="M24" s="55">
        <f t="shared" si="6"/>
        <v>43555</v>
      </c>
      <c r="N24" s="55">
        <f t="shared" si="6"/>
        <v>43921</v>
      </c>
      <c r="O24" s="55">
        <f t="shared" si="6"/>
        <v>44286</v>
      </c>
      <c r="P24" s="55">
        <f t="shared" si="6"/>
        <v>44651</v>
      </c>
      <c r="Q24" s="55">
        <f t="shared" si="6"/>
        <v>45016</v>
      </c>
      <c r="R24" s="55">
        <f t="shared" si="6"/>
        <v>45382</v>
      </c>
      <c r="S24" s="55">
        <f t="shared" si="6"/>
        <v>45747</v>
      </c>
      <c r="T24" s="55">
        <f t="shared" si="6"/>
        <v>46112</v>
      </c>
      <c r="U24" s="55">
        <f t="shared" si="6"/>
        <v>46477</v>
      </c>
      <c r="V24" s="55">
        <f t="shared" si="6"/>
        <v>46843</v>
      </c>
      <c r="W24" s="55">
        <f t="shared" si="6"/>
        <v>47208</v>
      </c>
      <c r="X24" s="55">
        <f t="shared" si="6"/>
        <v>47573</v>
      </c>
    </row>
    <row r="25" spans="1:79" s="55" customFormat="1" x14ac:dyDescent="0.2">
      <c r="A25" s="51"/>
      <c r="B25" s="52"/>
      <c r="C25" s="53"/>
      <c r="D25" s="54" t="s">
        <v>649</v>
      </c>
      <c r="E25" s="7" t="str">
        <f t="shared" ref="E25:X25" si="7" xml:space="preserve"> E$21</f>
        <v>Model Period BEG</v>
      </c>
      <c r="F25" s="55">
        <f t="shared" si="7"/>
        <v>0</v>
      </c>
      <c r="G25" s="55" t="str">
        <f t="shared" si="7"/>
        <v>date</v>
      </c>
      <c r="H25" s="55">
        <f t="shared" si="7"/>
        <v>0</v>
      </c>
      <c r="I25" s="55">
        <f t="shared" si="7"/>
        <v>0</v>
      </c>
      <c r="J25" s="55">
        <f t="shared" si="7"/>
        <v>42095</v>
      </c>
      <c r="K25" s="55">
        <f t="shared" si="7"/>
        <v>42461</v>
      </c>
      <c r="L25" s="55">
        <f t="shared" si="7"/>
        <v>42826</v>
      </c>
      <c r="M25" s="55">
        <f t="shared" si="7"/>
        <v>43191</v>
      </c>
      <c r="N25" s="55">
        <f t="shared" si="7"/>
        <v>43556</v>
      </c>
      <c r="O25" s="55">
        <f t="shared" si="7"/>
        <v>43922</v>
      </c>
      <c r="P25" s="55">
        <f t="shared" si="7"/>
        <v>44287</v>
      </c>
      <c r="Q25" s="55">
        <f t="shared" si="7"/>
        <v>44652</v>
      </c>
      <c r="R25" s="55">
        <f t="shared" si="7"/>
        <v>45017</v>
      </c>
      <c r="S25" s="55">
        <f t="shared" si="7"/>
        <v>45383</v>
      </c>
      <c r="T25" s="55">
        <f t="shared" si="7"/>
        <v>45748</v>
      </c>
      <c r="U25" s="55">
        <f t="shared" si="7"/>
        <v>46113</v>
      </c>
      <c r="V25" s="55">
        <f t="shared" si="7"/>
        <v>46478</v>
      </c>
      <c r="W25" s="55">
        <f t="shared" si="7"/>
        <v>46844</v>
      </c>
      <c r="X25" s="55">
        <f t="shared" si="7"/>
        <v>47209</v>
      </c>
    </row>
    <row r="26" spans="1:79" s="63" customFormat="1" x14ac:dyDescent="0.2">
      <c r="A26" s="59"/>
      <c r="B26" s="60"/>
      <c r="C26" s="61"/>
      <c r="D26" s="62"/>
      <c r="E26" s="7" t="s">
        <v>650</v>
      </c>
      <c r="G26" s="63" t="s">
        <v>651</v>
      </c>
      <c r="H26" s="64">
        <f xml:space="preserve"> SUM(J26:CA26)</f>
        <v>5479</v>
      </c>
      <c r="J26" s="64">
        <f t="shared" ref="J26:S26" si="8" xml:space="preserve"> J24 - J25 + 1</f>
        <v>366</v>
      </c>
      <c r="K26" s="64">
        <f t="shared" si="8"/>
        <v>365</v>
      </c>
      <c r="L26" s="64">
        <f t="shared" si="8"/>
        <v>365</v>
      </c>
      <c r="M26" s="64">
        <f t="shared" si="8"/>
        <v>365</v>
      </c>
      <c r="N26" s="64">
        <f t="shared" si="8"/>
        <v>366</v>
      </c>
      <c r="O26" s="64">
        <f t="shared" si="8"/>
        <v>365</v>
      </c>
      <c r="P26" s="64">
        <f t="shared" si="8"/>
        <v>365</v>
      </c>
      <c r="Q26" s="64">
        <f t="shared" si="8"/>
        <v>365</v>
      </c>
      <c r="R26" s="64">
        <f t="shared" si="8"/>
        <v>366</v>
      </c>
      <c r="S26" s="64">
        <f t="shared" si="8"/>
        <v>365</v>
      </c>
      <c r="T26" s="64">
        <f xml:space="preserve"> T24 - T25 + 1</f>
        <v>365</v>
      </c>
      <c r="U26" s="64">
        <f xml:space="preserve"> U24 - U25 + 1</f>
        <v>365</v>
      </c>
      <c r="V26" s="64">
        <f xml:space="preserve"> V24 - V25 + 1</f>
        <v>366</v>
      </c>
      <c r="W26" s="64">
        <f xml:space="preserve"> W24 - W25 + 1</f>
        <v>365</v>
      </c>
      <c r="X26" s="64">
        <f xml:space="preserve"> X24 - X25 + 1</f>
        <v>365</v>
      </c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</row>
    <row r="27" spans="1:79" s="32" customFormat="1" x14ac:dyDescent="0.2">
      <c r="A27" s="15"/>
      <c r="B27" s="16"/>
      <c r="C27" s="17"/>
      <c r="D27" s="18"/>
      <c r="E27" s="31"/>
      <c r="G27" s="33"/>
    </row>
    <row r="28" spans="1:79" s="32" customFormat="1" x14ac:dyDescent="0.2">
      <c r="A28" s="15"/>
      <c r="B28" s="16"/>
      <c r="C28" s="17"/>
      <c r="D28" s="18"/>
      <c r="E28" s="31"/>
      <c r="G28" s="33"/>
    </row>
    <row r="29" spans="1:79" s="209" customFormat="1" ht="13.5" x14ac:dyDescent="0.25">
      <c r="A29" s="209" t="s">
        <v>652</v>
      </c>
    </row>
    <row r="30" spans="1:79" s="55" customFormat="1" x14ac:dyDescent="0.2">
      <c r="A30" s="51"/>
      <c r="B30" s="52"/>
      <c r="C30" s="53"/>
      <c r="D30" s="54"/>
      <c r="E30" s="7"/>
    </row>
    <row r="31" spans="1:79" s="49" customFormat="1" x14ac:dyDescent="0.2">
      <c r="A31" s="44"/>
      <c r="B31" s="45"/>
      <c r="C31" s="46"/>
      <c r="D31" s="47"/>
      <c r="E31" s="287" t="str">
        <f xml:space="preserve"> InpActive!E$154</f>
        <v>Last pre forecast date</v>
      </c>
      <c r="F31" s="288">
        <f xml:space="preserve"> InpActive!F$154</f>
        <v>45747</v>
      </c>
      <c r="G31" s="288" t="str">
        <f xml:space="preserve"> InpActive!G$154</f>
        <v>date</v>
      </c>
    </row>
    <row r="32" spans="1:79" s="66" customFormat="1" x14ac:dyDescent="0.2">
      <c r="A32" s="51"/>
      <c r="B32" s="52"/>
      <c r="C32" s="53"/>
      <c r="D32" s="54"/>
      <c r="E32" s="65" t="str">
        <f t="shared" ref="E32:X32" si="9" xml:space="preserve"> E$22</f>
        <v>Model Period END</v>
      </c>
      <c r="F32" s="66">
        <f t="shared" si="9"/>
        <v>0</v>
      </c>
      <c r="G32" s="66" t="str">
        <f t="shared" si="9"/>
        <v>date</v>
      </c>
      <c r="H32" s="66">
        <f t="shared" si="9"/>
        <v>0</v>
      </c>
      <c r="I32" s="66">
        <f t="shared" si="9"/>
        <v>0</v>
      </c>
      <c r="J32" s="66">
        <f t="shared" si="9"/>
        <v>42460</v>
      </c>
      <c r="K32" s="66">
        <f t="shared" si="9"/>
        <v>42825</v>
      </c>
      <c r="L32" s="66">
        <f t="shared" si="9"/>
        <v>43190</v>
      </c>
      <c r="M32" s="66">
        <f t="shared" si="9"/>
        <v>43555</v>
      </c>
      <c r="N32" s="66">
        <f t="shared" si="9"/>
        <v>43921</v>
      </c>
      <c r="O32" s="66">
        <f t="shared" si="9"/>
        <v>44286</v>
      </c>
      <c r="P32" s="66">
        <f t="shared" si="9"/>
        <v>44651</v>
      </c>
      <c r="Q32" s="66">
        <f t="shared" si="9"/>
        <v>45016</v>
      </c>
      <c r="R32" s="66">
        <f t="shared" si="9"/>
        <v>45382</v>
      </c>
      <c r="S32" s="66">
        <f t="shared" si="9"/>
        <v>45747</v>
      </c>
      <c r="T32" s="66">
        <f t="shared" si="9"/>
        <v>46112</v>
      </c>
      <c r="U32" s="66">
        <f t="shared" si="9"/>
        <v>46477</v>
      </c>
      <c r="V32" s="66">
        <f t="shared" si="9"/>
        <v>46843</v>
      </c>
      <c r="W32" s="66">
        <f t="shared" si="9"/>
        <v>47208</v>
      </c>
      <c r="X32" s="66">
        <f t="shared" si="9"/>
        <v>47573</v>
      </c>
    </row>
    <row r="33" spans="1:79" x14ac:dyDescent="0.2">
      <c r="E33" s="7" t="s">
        <v>653</v>
      </c>
      <c r="G33" s="30" t="s">
        <v>644</v>
      </c>
      <c r="H33" s="30">
        <f xml:space="preserve"> SUM(J33:CA33)</f>
        <v>1</v>
      </c>
      <c r="J33" s="30">
        <f t="shared" ref="J33:S33" si="10" xml:space="preserve"> IF(J32 = $F31, 1, 0)</f>
        <v>0</v>
      </c>
      <c r="K33" s="30">
        <f t="shared" si="10"/>
        <v>0</v>
      </c>
      <c r="L33" s="30">
        <f t="shared" si="10"/>
        <v>0</v>
      </c>
      <c r="M33" s="30">
        <f t="shared" si="10"/>
        <v>0</v>
      </c>
      <c r="N33" s="30">
        <f t="shared" si="10"/>
        <v>0</v>
      </c>
      <c r="O33" s="30">
        <f t="shared" si="10"/>
        <v>0</v>
      </c>
      <c r="P33" s="30">
        <f t="shared" si="10"/>
        <v>0</v>
      </c>
      <c r="Q33" s="30">
        <f t="shared" si="10"/>
        <v>0</v>
      </c>
      <c r="R33" s="30">
        <f t="shared" si="10"/>
        <v>0</v>
      </c>
      <c r="S33" s="30">
        <f t="shared" si="10"/>
        <v>1</v>
      </c>
      <c r="T33" s="30">
        <f xml:space="preserve"> IF(T32 = $F31, 1, 0)</f>
        <v>0</v>
      </c>
      <c r="U33" s="30">
        <f xml:space="preserve"> IF(U32 = $F31, 1, 0)</f>
        <v>0</v>
      </c>
      <c r="V33" s="30">
        <f xml:space="preserve"> IF(V32 = $F31, 1, 0)</f>
        <v>0</v>
      </c>
      <c r="W33" s="30">
        <f xml:space="preserve"> IF(W32 = $F31, 1, 0)</f>
        <v>0</v>
      </c>
      <c r="X33" s="30">
        <f xml:space="preserve"> IF(X32 = $F31, 1, 0)</f>
        <v>0</v>
      </c>
    </row>
    <row r="34" spans="1:79" x14ac:dyDescent="0.2">
      <c r="E34" s="7" t="s">
        <v>654</v>
      </c>
      <c r="G34" s="30" t="s">
        <v>644</v>
      </c>
      <c r="H34" s="30">
        <f xml:space="preserve"> SUM(J34:CA34)</f>
        <v>10</v>
      </c>
      <c r="J34" s="30">
        <f t="shared" ref="J34:S34" si="11" xml:space="preserve"> IF($F31 &gt;= J32, 1, 0)</f>
        <v>1</v>
      </c>
      <c r="K34" s="30">
        <f t="shared" si="11"/>
        <v>1</v>
      </c>
      <c r="L34" s="30">
        <f t="shared" si="11"/>
        <v>1</v>
      </c>
      <c r="M34" s="30">
        <f t="shared" si="11"/>
        <v>1</v>
      </c>
      <c r="N34" s="30">
        <f t="shared" si="11"/>
        <v>1</v>
      </c>
      <c r="O34" s="30">
        <f t="shared" si="11"/>
        <v>1</v>
      </c>
      <c r="P34" s="30">
        <f t="shared" si="11"/>
        <v>1</v>
      </c>
      <c r="Q34" s="30">
        <f t="shared" si="11"/>
        <v>1</v>
      </c>
      <c r="R34" s="30">
        <f t="shared" si="11"/>
        <v>1</v>
      </c>
      <c r="S34" s="30">
        <f t="shared" si="11"/>
        <v>1</v>
      </c>
      <c r="T34" s="30">
        <f xml:space="preserve"> IF($F31 &gt;= T32, 1, 0)</f>
        <v>0</v>
      </c>
      <c r="U34" s="30">
        <f xml:space="preserve"> IF($F31 &gt;= U32, 1, 0)</f>
        <v>0</v>
      </c>
      <c r="V34" s="30">
        <f xml:space="preserve"> IF($F31 &gt;= V32, 1, 0)</f>
        <v>0</v>
      </c>
      <c r="W34" s="30">
        <f xml:space="preserve"> IF($F31 &gt;= W32, 1, 0)</f>
        <v>0</v>
      </c>
      <c r="X34" s="30">
        <f xml:space="preserve"> IF($F31 &gt;= X32, 1, 0)</f>
        <v>0</v>
      </c>
    </row>
    <row r="35" spans="1:79" x14ac:dyDescent="0.2">
      <c r="E35" s="7" t="s">
        <v>655</v>
      </c>
      <c r="F35" s="64">
        <f xml:space="preserve"> SUM(J34:CA34)</f>
        <v>10</v>
      </c>
      <c r="G35" s="30" t="s">
        <v>656</v>
      </c>
    </row>
    <row r="36" spans="1:79" x14ac:dyDescent="0.2"/>
    <row r="37" spans="1:79" s="49" customFormat="1" x14ac:dyDescent="0.2">
      <c r="A37" s="44"/>
      <c r="B37" s="45"/>
      <c r="C37" s="46"/>
      <c r="D37" s="47"/>
      <c r="E37" s="287" t="str">
        <f xml:space="preserve"> InpActive!E$156</f>
        <v>Acquisition date (midnight)</v>
      </c>
      <c r="F37" s="288">
        <f xml:space="preserve"> InpActive!F$156</f>
        <v>45747</v>
      </c>
      <c r="G37" s="288" t="str">
        <f xml:space="preserve"> InpActive!G$156</f>
        <v>date</v>
      </c>
    </row>
    <row r="38" spans="1:79" s="66" customFormat="1" x14ac:dyDescent="0.2">
      <c r="A38" s="51"/>
      <c r="B38" s="52"/>
      <c r="C38" s="53"/>
      <c r="D38" s="54"/>
      <c r="E38" s="65" t="str">
        <f t="shared" ref="E38:X38" si="12" xml:space="preserve"> E$22</f>
        <v>Model Period END</v>
      </c>
      <c r="F38" s="66">
        <f t="shared" si="12"/>
        <v>0</v>
      </c>
      <c r="G38" s="66" t="str">
        <f t="shared" si="12"/>
        <v>date</v>
      </c>
      <c r="H38" s="66">
        <f t="shared" si="12"/>
        <v>0</v>
      </c>
      <c r="I38" s="66">
        <f t="shared" si="12"/>
        <v>0</v>
      </c>
      <c r="J38" s="66">
        <f t="shared" si="12"/>
        <v>42460</v>
      </c>
      <c r="K38" s="66">
        <f t="shared" si="12"/>
        <v>42825</v>
      </c>
      <c r="L38" s="66">
        <f t="shared" si="12"/>
        <v>43190</v>
      </c>
      <c r="M38" s="66">
        <f t="shared" si="12"/>
        <v>43555</v>
      </c>
      <c r="N38" s="66">
        <f t="shared" si="12"/>
        <v>43921</v>
      </c>
      <c r="O38" s="66">
        <f t="shared" si="12"/>
        <v>44286</v>
      </c>
      <c r="P38" s="66">
        <f t="shared" si="12"/>
        <v>44651</v>
      </c>
      <c r="Q38" s="66">
        <f t="shared" si="12"/>
        <v>45016</v>
      </c>
      <c r="R38" s="66">
        <f t="shared" si="12"/>
        <v>45382</v>
      </c>
      <c r="S38" s="66">
        <f t="shared" si="12"/>
        <v>45747</v>
      </c>
      <c r="T38" s="66">
        <f t="shared" si="12"/>
        <v>46112</v>
      </c>
      <c r="U38" s="66">
        <f t="shared" si="12"/>
        <v>46477</v>
      </c>
      <c r="V38" s="66">
        <f t="shared" si="12"/>
        <v>46843</v>
      </c>
      <c r="W38" s="66">
        <f t="shared" si="12"/>
        <v>47208</v>
      </c>
      <c r="X38" s="66">
        <f t="shared" si="12"/>
        <v>47573</v>
      </c>
    </row>
    <row r="39" spans="1:79" s="68" customFormat="1" x14ac:dyDescent="0.2">
      <c r="A39" s="20"/>
      <c r="B39" s="21"/>
      <c r="C39" s="22"/>
      <c r="D39" s="23"/>
      <c r="E39" s="67" t="s">
        <v>657</v>
      </c>
      <c r="G39" s="68" t="s">
        <v>644</v>
      </c>
      <c r="H39" s="68">
        <f xml:space="preserve"> SUM(J39:CA39)</f>
        <v>1</v>
      </c>
      <c r="J39" s="68">
        <f t="shared" ref="J39:S39" si="13" xml:space="preserve"> IF(J38 = $F37, 1, 0)</f>
        <v>0</v>
      </c>
      <c r="K39" s="68">
        <f t="shared" si="13"/>
        <v>0</v>
      </c>
      <c r="L39" s="68">
        <f t="shared" si="13"/>
        <v>0</v>
      </c>
      <c r="M39" s="68">
        <f t="shared" si="13"/>
        <v>0</v>
      </c>
      <c r="N39" s="68">
        <f t="shared" si="13"/>
        <v>0</v>
      </c>
      <c r="O39" s="68">
        <f t="shared" si="13"/>
        <v>0</v>
      </c>
      <c r="P39" s="68">
        <f t="shared" si="13"/>
        <v>0</v>
      </c>
      <c r="Q39" s="68">
        <f t="shared" si="13"/>
        <v>0</v>
      </c>
      <c r="R39" s="68">
        <f t="shared" si="13"/>
        <v>0</v>
      </c>
      <c r="S39" s="68">
        <f t="shared" si="13"/>
        <v>1</v>
      </c>
      <c r="T39" s="68">
        <f xml:space="preserve"> IF(T38 = $F37, 1, 0)</f>
        <v>0</v>
      </c>
      <c r="U39" s="68">
        <f xml:space="preserve"> IF(U38 = $F37, 1, 0)</f>
        <v>0</v>
      </c>
      <c r="V39" s="68">
        <f xml:space="preserve"> IF(V38 = $F37, 1, 0)</f>
        <v>0</v>
      </c>
      <c r="W39" s="68">
        <f xml:space="preserve"> IF(W38 = $F37, 1, 0)</f>
        <v>0</v>
      </c>
      <c r="X39" s="68">
        <f xml:space="preserve"> IF(X38 = $F37, 1, 0)</f>
        <v>0</v>
      </c>
    </row>
    <row r="40" spans="1:79" s="55" customFormat="1" x14ac:dyDescent="0.2">
      <c r="A40" s="51"/>
      <c r="B40" s="52"/>
      <c r="C40" s="53"/>
      <c r="D40" s="54"/>
      <c r="E40" s="7"/>
    </row>
    <row r="41" spans="1:79" s="55" customFormat="1" x14ac:dyDescent="0.2">
      <c r="A41" s="51"/>
      <c r="B41" s="52"/>
      <c r="C41" s="53"/>
      <c r="D41" s="54"/>
      <c r="E41" s="7"/>
    </row>
    <row r="42" spans="1:79" s="209" customFormat="1" ht="13.5" x14ac:dyDescent="0.25">
      <c r="A42" s="209" t="s">
        <v>658</v>
      </c>
    </row>
    <row r="43" spans="1:79" x14ac:dyDescent="0.2"/>
    <row r="44" spans="1:79" x14ac:dyDescent="0.2">
      <c r="E44" s="7" t="str">
        <f t="shared" ref="E44:X44" si="14" xml:space="preserve"> E$33</f>
        <v>Last Pre Forecast Flag</v>
      </c>
      <c r="F44" s="30">
        <f t="shared" si="14"/>
        <v>0</v>
      </c>
      <c r="G44" s="30" t="str">
        <f t="shared" si="14"/>
        <v>flag</v>
      </c>
      <c r="H44" s="30">
        <f t="shared" si="14"/>
        <v>1</v>
      </c>
      <c r="I44" s="30">
        <f t="shared" si="14"/>
        <v>0</v>
      </c>
      <c r="J44" s="30">
        <f t="shared" si="14"/>
        <v>0</v>
      </c>
      <c r="K44" s="30">
        <f t="shared" si="14"/>
        <v>0</v>
      </c>
      <c r="L44" s="30">
        <f t="shared" si="14"/>
        <v>0</v>
      </c>
      <c r="M44" s="30">
        <f t="shared" si="14"/>
        <v>0</v>
      </c>
      <c r="N44" s="30">
        <f t="shared" si="14"/>
        <v>0</v>
      </c>
      <c r="O44" s="30">
        <f t="shared" si="14"/>
        <v>0</v>
      </c>
      <c r="P44" s="30">
        <f t="shared" si="14"/>
        <v>0</v>
      </c>
      <c r="Q44" s="30">
        <f t="shared" si="14"/>
        <v>0</v>
      </c>
      <c r="R44" s="30">
        <f t="shared" si="14"/>
        <v>0</v>
      </c>
      <c r="S44" s="30">
        <f t="shared" si="14"/>
        <v>1</v>
      </c>
      <c r="T44" s="30">
        <f t="shared" si="14"/>
        <v>0</v>
      </c>
      <c r="U44" s="30">
        <f t="shared" si="14"/>
        <v>0</v>
      </c>
      <c r="V44" s="30">
        <f t="shared" si="14"/>
        <v>0</v>
      </c>
      <c r="W44" s="30">
        <f t="shared" si="14"/>
        <v>0</v>
      </c>
      <c r="X44" s="30">
        <f t="shared" si="14"/>
        <v>0</v>
      </c>
    </row>
    <row r="45" spans="1:79" s="68" customFormat="1" x14ac:dyDescent="0.2">
      <c r="A45" s="69"/>
      <c r="B45" s="70"/>
      <c r="C45" s="71"/>
      <c r="D45" s="72"/>
      <c r="E45" s="67" t="s">
        <v>659</v>
      </c>
      <c r="G45" s="68" t="s">
        <v>644</v>
      </c>
      <c r="H45" s="68">
        <f xml:space="preserve"> SUM(J45:CA45)</f>
        <v>1</v>
      </c>
      <c r="J45" s="68">
        <f t="shared" ref="J45:X45" si="15" xml:space="preserve"> I44</f>
        <v>0</v>
      </c>
      <c r="K45" s="68">
        <f t="shared" si="15"/>
        <v>0</v>
      </c>
      <c r="L45" s="68">
        <f t="shared" si="15"/>
        <v>0</v>
      </c>
      <c r="M45" s="68">
        <f t="shared" si="15"/>
        <v>0</v>
      </c>
      <c r="N45" s="68">
        <f t="shared" si="15"/>
        <v>0</v>
      </c>
      <c r="O45" s="68">
        <f t="shared" si="15"/>
        <v>0</v>
      </c>
      <c r="P45" s="68">
        <f t="shared" si="15"/>
        <v>0</v>
      </c>
      <c r="Q45" s="68">
        <f t="shared" si="15"/>
        <v>0</v>
      </c>
      <c r="R45" s="68">
        <f t="shared" si="15"/>
        <v>0</v>
      </c>
      <c r="S45" s="68">
        <f t="shared" si="15"/>
        <v>0</v>
      </c>
      <c r="T45" s="68">
        <f t="shared" si="15"/>
        <v>1</v>
      </c>
      <c r="U45" s="68">
        <f t="shared" si="15"/>
        <v>0</v>
      </c>
      <c r="V45" s="68">
        <f t="shared" si="15"/>
        <v>0</v>
      </c>
      <c r="W45" s="68">
        <f t="shared" si="15"/>
        <v>0</v>
      </c>
      <c r="X45" s="68">
        <f t="shared" si="15"/>
        <v>0</v>
      </c>
    </row>
    <row r="46" spans="1:79" x14ac:dyDescent="0.2"/>
    <row r="47" spans="1:79" s="49" customFormat="1" x14ac:dyDescent="0.2">
      <c r="A47" s="44"/>
      <c r="B47" s="45"/>
      <c r="C47" s="46"/>
      <c r="D47" s="47"/>
      <c r="E47" s="287" t="str">
        <f>InpActive!E$158</f>
        <v>Last forecast date</v>
      </c>
      <c r="F47" s="288">
        <f>InpActive!F$158</f>
        <v>47573</v>
      </c>
      <c r="G47" s="288" t="str">
        <f>InpActive!G$158</f>
        <v>date</v>
      </c>
    </row>
    <row r="48" spans="1:79" x14ac:dyDescent="0.2">
      <c r="E48" s="65" t="str">
        <f t="shared" ref="E48:X48" si="16" xml:space="preserve"> E$22</f>
        <v>Model Period END</v>
      </c>
      <c r="F48" s="66">
        <f t="shared" si="16"/>
        <v>0</v>
      </c>
      <c r="G48" s="66" t="str">
        <f t="shared" si="16"/>
        <v>date</v>
      </c>
      <c r="H48" s="66">
        <f t="shared" si="16"/>
        <v>0</v>
      </c>
      <c r="I48" s="66">
        <f t="shared" si="16"/>
        <v>0</v>
      </c>
      <c r="J48" s="66">
        <f t="shared" si="16"/>
        <v>42460</v>
      </c>
      <c r="K48" s="66">
        <f t="shared" si="16"/>
        <v>42825</v>
      </c>
      <c r="L48" s="66">
        <f t="shared" si="16"/>
        <v>43190</v>
      </c>
      <c r="M48" s="66">
        <f t="shared" si="16"/>
        <v>43555</v>
      </c>
      <c r="N48" s="66">
        <f t="shared" si="16"/>
        <v>43921</v>
      </c>
      <c r="O48" s="66">
        <f t="shared" si="16"/>
        <v>44286</v>
      </c>
      <c r="P48" s="66">
        <f t="shared" si="16"/>
        <v>44651</v>
      </c>
      <c r="Q48" s="66">
        <f t="shared" si="16"/>
        <v>45016</v>
      </c>
      <c r="R48" s="66">
        <f t="shared" si="16"/>
        <v>45382</v>
      </c>
      <c r="S48" s="66">
        <f t="shared" si="16"/>
        <v>45747</v>
      </c>
      <c r="T48" s="66">
        <f t="shared" si="16"/>
        <v>46112</v>
      </c>
      <c r="U48" s="66">
        <f t="shared" si="16"/>
        <v>46477</v>
      </c>
      <c r="V48" s="66">
        <f t="shared" si="16"/>
        <v>46843</v>
      </c>
      <c r="W48" s="66">
        <f t="shared" si="16"/>
        <v>47208</v>
      </c>
      <c r="X48" s="66">
        <f t="shared" si="16"/>
        <v>47573</v>
      </c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</row>
    <row r="49" spans="1:24" x14ac:dyDescent="0.2">
      <c r="E49" s="7" t="s">
        <v>660</v>
      </c>
      <c r="G49" s="30" t="s">
        <v>644</v>
      </c>
      <c r="H49" s="30">
        <f xml:space="preserve"> SUM(J49:CA49)</f>
        <v>1</v>
      </c>
      <c r="J49" s="30">
        <f t="shared" ref="J49:X49" si="17" xml:space="preserve"> IF(AND($F47 &gt; I48, $F47 &lt;= J48), 1, 0)</f>
        <v>0</v>
      </c>
      <c r="K49" s="30">
        <f t="shared" si="17"/>
        <v>0</v>
      </c>
      <c r="L49" s="30">
        <f t="shared" si="17"/>
        <v>0</v>
      </c>
      <c r="M49" s="30">
        <f t="shared" si="17"/>
        <v>0</v>
      </c>
      <c r="N49" s="30">
        <f t="shared" si="17"/>
        <v>0</v>
      </c>
      <c r="O49" s="30">
        <f t="shared" si="17"/>
        <v>0</v>
      </c>
      <c r="P49" s="30">
        <f t="shared" si="17"/>
        <v>0</v>
      </c>
      <c r="Q49" s="30">
        <f t="shared" si="17"/>
        <v>0</v>
      </c>
      <c r="R49" s="30">
        <f t="shared" si="17"/>
        <v>0</v>
      </c>
      <c r="S49" s="30">
        <f t="shared" si="17"/>
        <v>0</v>
      </c>
      <c r="T49" s="30">
        <f t="shared" si="17"/>
        <v>0</v>
      </c>
      <c r="U49" s="30">
        <f t="shared" si="17"/>
        <v>0</v>
      </c>
      <c r="V49" s="30">
        <f t="shared" si="17"/>
        <v>0</v>
      </c>
      <c r="W49" s="30">
        <f t="shared" si="17"/>
        <v>0</v>
      </c>
      <c r="X49" s="30">
        <f t="shared" si="17"/>
        <v>1</v>
      </c>
    </row>
    <row r="50" spans="1:24" x14ac:dyDescent="0.2"/>
    <row r="51" spans="1:24" x14ac:dyDescent="0.2">
      <c r="E51" s="7" t="str">
        <f t="shared" ref="E51:X51" si="18" xml:space="preserve"> E$45</f>
        <v>1st Forecast Period Flag</v>
      </c>
      <c r="F51" s="30">
        <f t="shared" si="18"/>
        <v>0</v>
      </c>
      <c r="G51" s="30" t="str">
        <f t="shared" si="18"/>
        <v>flag</v>
      </c>
      <c r="H51" s="30">
        <f t="shared" si="18"/>
        <v>1</v>
      </c>
      <c r="I51" s="30">
        <f t="shared" si="18"/>
        <v>0</v>
      </c>
      <c r="J51" s="30">
        <f t="shared" si="18"/>
        <v>0</v>
      </c>
      <c r="K51" s="30">
        <f t="shared" si="18"/>
        <v>0</v>
      </c>
      <c r="L51" s="30">
        <f t="shared" si="18"/>
        <v>0</v>
      </c>
      <c r="M51" s="30">
        <f t="shared" si="18"/>
        <v>0</v>
      </c>
      <c r="N51" s="30">
        <f t="shared" si="18"/>
        <v>0</v>
      </c>
      <c r="O51" s="30">
        <f t="shared" si="18"/>
        <v>0</v>
      </c>
      <c r="P51" s="30">
        <f t="shared" si="18"/>
        <v>0</v>
      </c>
      <c r="Q51" s="30">
        <f t="shared" si="18"/>
        <v>0</v>
      </c>
      <c r="R51" s="30">
        <f t="shared" si="18"/>
        <v>0</v>
      </c>
      <c r="S51" s="30">
        <f t="shared" si="18"/>
        <v>0</v>
      </c>
      <c r="T51" s="30">
        <f t="shared" si="18"/>
        <v>1</v>
      </c>
      <c r="U51" s="30">
        <f t="shared" si="18"/>
        <v>0</v>
      </c>
      <c r="V51" s="30">
        <f t="shared" si="18"/>
        <v>0</v>
      </c>
      <c r="W51" s="30">
        <f t="shared" si="18"/>
        <v>0</v>
      </c>
      <c r="X51" s="30">
        <f t="shared" si="18"/>
        <v>0</v>
      </c>
    </row>
    <row r="52" spans="1:24" x14ac:dyDescent="0.2">
      <c r="E52" s="7" t="str">
        <f t="shared" ref="E52:X52" si="19" xml:space="preserve"> E$49</f>
        <v>Last Forecast Period Flag</v>
      </c>
      <c r="F52" s="30">
        <f t="shared" si="19"/>
        <v>0</v>
      </c>
      <c r="G52" s="30" t="str">
        <f t="shared" si="19"/>
        <v>flag</v>
      </c>
      <c r="H52" s="30">
        <f t="shared" si="19"/>
        <v>1</v>
      </c>
      <c r="I52" s="30">
        <f t="shared" si="19"/>
        <v>0</v>
      </c>
      <c r="J52" s="30">
        <f t="shared" si="19"/>
        <v>0</v>
      </c>
      <c r="K52" s="30">
        <f t="shared" si="19"/>
        <v>0</v>
      </c>
      <c r="L52" s="30">
        <f t="shared" si="19"/>
        <v>0</v>
      </c>
      <c r="M52" s="30">
        <f t="shared" si="19"/>
        <v>0</v>
      </c>
      <c r="N52" s="30">
        <f t="shared" si="19"/>
        <v>0</v>
      </c>
      <c r="O52" s="30">
        <f t="shared" si="19"/>
        <v>0</v>
      </c>
      <c r="P52" s="30">
        <f t="shared" si="19"/>
        <v>0</v>
      </c>
      <c r="Q52" s="30">
        <f t="shared" si="19"/>
        <v>0</v>
      </c>
      <c r="R52" s="30">
        <f t="shared" si="19"/>
        <v>0</v>
      </c>
      <c r="S52" s="30">
        <f xml:space="preserve"> S$49</f>
        <v>0</v>
      </c>
      <c r="T52" s="30">
        <f t="shared" si="19"/>
        <v>0</v>
      </c>
      <c r="U52" s="30">
        <f t="shared" si="19"/>
        <v>0</v>
      </c>
      <c r="V52" s="30">
        <f t="shared" si="19"/>
        <v>0</v>
      </c>
      <c r="W52" s="30">
        <f t="shared" si="19"/>
        <v>0</v>
      </c>
      <c r="X52" s="30">
        <f t="shared" si="19"/>
        <v>1</v>
      </c>
    </row>
    <row r="53" spans="1:24" s="57" customFormat="1" x14ac:dyDescent="0.2">
      <c r="A53" s="20"/>
      <c r="B53" s="21"/>
      <c r="C53" s="22"/>
      <c r="D53" s="23"/>
      <c r="E53" s="56" t="s">
        <v>661</v>
      </c>
      <c r="G53" s="57" t="s">
        <v>644</v>
      </c>
      <c r="H53" s="57">
        <f xml:space="preserve"> SUM(J53:CA53)</f>
        <v>5</v>
      </c>
      <c r="J53" s="57">
        <f t="shared" ref="J53:X53" si="20" xml:space="preserve"> J51 - I52 + I53</f>
        <v>0</v>
      </c>
      <c r="K53" s="57">
        <f t="shared" si="20"/>
        <v>0</v>
      </c>
      <c r="L53" s="57">
        <f t="shared" si="20"/>
        <v>0</v>
      </c>
      <c r="M53" s="57">
        <f t="shared" si="20"/>
        <v>0</v>
      </c>
      <c r="N53" s="57">
        <f t="shared" si="20"/>
        <v>0</v>
      </c>
      <c r="O53" s="57">
        <f xml:space="preserve"> O51 - N52 + N53</f>
        <v>0</v>
      </c>
      <c r="P53" s="57">
        <f xml:space="preserve"> P51 - O52 + O53</f>
        <v>0</v>
      </c>
      <c r="Q53" s="57">
        <f t="shared" si="20"/>
        <v>0</v>
      </c>
      <c r="R53" s="57">
        <f t="shared" si="20"/>
        <v>0</v>
      </c>
      <c r="S53" s="57">
        <f xml:space="preserve"> S51 - R52 + R53</f>
        <v>0</v>
      </c>
      <c r="T53" s="57">
        <f t="shared" si="20"/>
        <v>1</v>
      </c>
      <c r="U53" s="57">
        <f t="shared" si="20"/>
        <v>1</v>
      </c>
      <c r="V53" s="57">
        <f t="shared" si="20"/>
        <v>1</v>
      </c>
      <c r="W53" s="57">
        <f t="shared" si="20"/>
        <v>1</v>
      </c>
      <c r="X53" s="57">
        <f t="shared" si="20"/>
        <v>1</v>
      </c>
    </row>
    <row r="54" spans="1:24" x14ac:dyDescent="0.2">
      <c r="E54" s="7" t="s">
        <v>662</v>
      </c>
      <c r="F54" s="30">
        <f xml:space="preserve"> SUM(J53:CA53)</f>
        <v>5</v>
      </c>
      <c r="G54" s="30" t="s">
        <v>656</v>
      </c>
    </row>
    <row r="55" spans="1:24" x14ac:dyDescent="0.2"/>
    <row r="56" spans="1:24" x14ac:dyDescent="0.2">
      <c r="E56" s="7" t="str">
        <f t="shared" ref="E56:X56" si="21" xml:space="preserve"> E$34</f>
        <v>Pre Forecast Period Flag</v>
      </c>
      <c r="F56" s="30">
        <f t="shared" si="21"/>
        <v>0</v>
      </c>
      <c r="G56" s="30" t="str">
        <f t="shared" si="21"/>
        <v>flag</v>
      </c>
      <c r="H56" s="30">
        <f t="shared" si="21"/>
        <v>10</v>
      </c>
      <c r="I56" s="30">
        <f t="shared" si="21"/>
        <v>0</v>
      </c>
      <c r="J56" s="30">
        <f t="shared" si="21"/>
        <v>1</v>
      </c>
      <c r="K56" s="30">
        <f t="shared" si="21"/>
        <v>1</v>
      </c>
      <c r="L56" s="30">
        <f t="shared" si="21"/>
        <v>1</v>
      </c>
      <c r="M56" s="30">
        <f t="shared" si="21"/>
        <v>1</v>
      </c>
      <c r="N56" s="30">
        <f t="shared" si="21"/>
        <v>1</v>
      </c>
      <c r="O56" s="30">
        <f t="shared" si="21"/>
        <v>1</v>
      </c>
      <c r="P56" s="30">
        <f t="shared" si="21"/>
        <v>1</v>
      </c>
      <c r="Q56" s="30">
        <f t="shared" si="21"/>
        <v>1</v>
      </c>
      <c r="R56" s="30">
        <f t="shared" si="21"/>
        <v>1</v>
      </c>
      <c r="S56" s="30">
        <f t="shared" si="21"/>
        <v>1</v>
      </c>
      <c r="T56" s="30">
        <f t="shared" si="21"/>
        <v>0</v>
      </c>
      <c r="U56" s="30">
        <f t="shared" si="21"/>
        <v>0</v>
      </c>
      <c r="V56" s="30">
        <f t="shared" si="21"/>
        <v>0</v>
      </c>
      <c r="W56" s="30">
        <f t="shared" si="21"/>
        <v>0</v>
      </c>
      <c r="X56" s="30">
        <f t="shared" si="21"/>
        <v>0</v>
      </c>
    </row>
    <row r="57" spans="1:24" x14ac:dyDescent="0.2">
      <c r="E57" s="7" t="str">
        <f t="shared" ref="E57:X57" si="22" xml:space="preserve"> E$53</f>
        <v>Forecast Period Flag</v>
      </c>
      <c r="F57" s="30">
        <f t="shared" si="22"/>
        <v>0</v>
      </c>
      <c r="G57" s="30" t="str">
        <f t="shared" si="22"/>
        <v>flag</v>
      </c>
      <c r="H57" s="30">
        <f t="shared" si="22"/>
        <v>5</v>
      </c>
      <c r="I57" s="30">
        <f t="shared" si="22"/>
        <v>0</v>
      </c>
      <c r="J57" s="30">
        <f t="shared" si="22"/>
        <v>0</v>
      </c>
      <c r="K57" s="30">
        <f t="shared" si="22"/>
        <v>0</v>
      </c>
      <c r="L57" s="30">
        <f t="shared" si="22"/>
        <v>0</v>
      </c>
      <c r="M57" s="30">
        <f t="shared" si="22"/>
        <v>0</v>
      </c>
      <c r="N57" s="30">
        <f t="shared" si="22"/>
        <v>0</v>
      </c>
      <c r="O57" s="30">
        <f t="shared" si="22"/>
        <v>0</v>
      </c>
      <c r="P57" s="30">
        <f t="shared" si="22"/>
        <v>0</v>
      </c>
      <c r="Q57" s="30">
        <f t="shared" si="22"/>
        <v>0</v>
      </c>
      <c r="R57" s="30">
        <f t="shared" si="22"/>
        <v>0</v>
      </c>
      <c r="S57" s="30">
        <f t="shared" si="22"/>
        <v>0</v>
      </c>
      <c r="T57" s="30">
        <f t="shared" si="22"/>
        <v>1</v>
      </c>
      <c r="U57" s="30">
        <f t="shared" si="22"/>
        <v>1</v>
      </c>
      <c r="V57" s="30">
        <f t="shared" si="22"/>
        <v>1</v>
      </c>
      <c r="W57" s="30">
        <f t="shared" si="22"/>
        <v>1</v>
      </c>
      <c r="X57" s="30">
        <f t="shared" si="22"/>
        <v>1</v>
      </c>
    </row>
    <row r="58" spans="1:24" x14ac:dyDescent="0.2">
      <c r="E58" s="7" t="s">
        <v>663</v>
      </c>
      <c r="G58" s="30" t="s">
        <v>644</v>
      </c>
      <c r="J58" s="30" t="str">
        <f t="shared" ref="J58:S58" si="23" xml:space="preserve"> IF(J56 = 1, "Pre Fcst", IF(J57 = 1, "Forecast", "Post-Fcst"))</f>
        <v>Pre Fcst</v>
      </c>
      <c r="K58" s="30" t="str">
        <f t="shared" si="23"/>
        <v>Pre Fcst</v>
      </c>
      <c r="L58" s="30" t="str">
        <f t="shared" si="23"/>
        <v>Pre Fcst</v>
      </c>
      <c r="M58" s="30" t="str">
        <f t="shared" si="23"/>
        <v>Pre Fcst</v>
      </c>
      <c r="N58" s="30" t="str">
        <f t="shared" si="23"/>
        <v>Pre Fcst</v>
      </c>
      <c r="O58" s="30" t="str">
        <f t="shared" si="23"/>
        <v>Pre Fcst</v>
      </c>
      <c r="P58" s="30" t="str">
        <f t="shared" si="23"/>
        <v>Pre Fcst</v>
      </c>
      <c r="Q58" s="30" t="str">
        <f t="shared" si="23"/>
        <v>Pre Fcst</v>
      </c>
      <c r="R58" s="30" t="str">
        <f t="shared" si="23"/>
        <v>Pre Fcst</v>
      </c>
      <c r="S58" s="30" t="str">
        <f t="shared" si="23"/>
        <v>Pre Fcst</v>
      </c>
      <c r="T58" s="30" t="str">
        <f xml:space="preserve"> IF(T56 = 1, "Pre Fcst", IF(T57 = 1, "Forecast", "Post-Fcst"))</f>
        <v>Forecast</v>
      </c>
      <c r="U58" s="30" t="str">
        <f xml:space="preserve"> IF(U56 = 1, "Pre Fcst", IF(U57 = 1, "Forecast", "Post-Fcst"))</f>
        <v>Forecast</v>
      </c>
      <c r="V58" s="30" t="str">
        <f xml:space="preserve"> IF(V56 = 1, "Pre Fcst", IF(V57 = 1, "Forecast", "Post-Fcst"))</f>
        <v>Forecast</v>
      </c>
      <c r="W58" s="30" t="str">
        <f xml:space="preserve"> IF(W56 = 1, "Pre Fcst", IF(W57 = 1, "Forecast", "Post-Fcst"))</f>
        <v>Forecast</v>
      </c>
      <c r="X58" s="30" t="str">
        <f xml:space="preserve"> IF(X56 = 1, "Pre Fcst", IF(X57 = 1, "Forecast", "Post-Fcst"))</f>
        <v>Forecast</v>
      </c>
    </row>
    <row r="59" spans="1:24" x14ac:dyDescent="0.2"/>
    <row r="60" spans="1:24" x14ac:dyDescent="0.2">
      <c r="E60" s="288" t="str">
        <f>InpActive!E$162</f>
        <v>Post forecast modelling period end</v>
      </c>
      <c r="F60" s="288">
        <f>InpActive!F$162</f>
        <v>48304</v>
      </c>
      <c r="G60" s="288" t="str">
        <f>InpActive!G$162</f>
        <v>date</v>
      </c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</row>
    <row r="61" spans="1:24" x14ac:dyDescent="0.2">
      <c r="E61" s="65" t="str">
        <f t="shared" ref="E61:X61" si="24" xml:space="preserve"> E$22</f>
        <v>Model Period END</v>
      </c>
      <c r="F61" s="66">
        <f t="shared" si="24"/>
        <v>0</v>
      </c>
      <c r="G61" s="66" t="str">
        <f t="shared" si="24"/>
        <v>date</v>
      </c>
      <c r="H61" s="66">
        <f t="shared" si="24"/>
        <v>0</v>
      </c>
      <c r="I61" s="66">
        <f t="shared" si="24"/>
        <v>0</v>
      </c>
      <c r="J61" s="66">
        <f t="shared" si="24"/>
        <v>42460</v>
      </c>
      <c r="K61" s="66">
        <f t="shared" si="24"/>
        <v>42825</v>
      </c>
      <c r="L61" s="66">
        <f t="shared" si="24"/>
        <v>43190</v>
      </c>
      <c r="M61" s="66">
        <f t="shared" si="24"/>
        <v>43555</v>
      </c>
      <c r="N61" s="66">
        <f t="shared" si="24"/>
        <v>43921</v>
      </c>
      <c r="O61" s="66">
        <f t="shared" si="24"/>
        <v>44286</v>
      </c>
      <c r="P61" s="66">
        <f t="shared" si="24"/>
        <v>44651</v>
      </c>
      <c r="Q61" s="66">
        <f t="shared" si="24"/>
        <v>45016</v>
      </c>
      <c r="R61" s="66">
        <f t="shared" si="24"/>
        <v>45382</v>
      </c>
      <c r="S61" s="66">
        <f t="shared" si="24"/>
        <v>45747</v>
      </c>
      <c r="T61" s="66">
        <f t="shared" si="24"/>
        <v>46112</v>
      </c>
      <c r="U61" s="66">
        <f t="shared" si="24"/>
        <v>46477</v>
      </c>
      <c r="V61" s="66">
        <f t="shared" si="24"/>
        <v>46843</v>
      </c>
      <c r="W61" s="66">
        <f t="shared" si="24"/>
        <v>47208</v>
      </c>
      <c r="X61" s="66">
        <f t="shared" si="24"/>
        <v>47573</v>
      </c>
    </row>
    <row r="62" spans="1:24" x14ac:dyDescent="0.2">
      <c r="E62" s="7" t="s">
        <v>664</v>
      </c>
      <c r="J62" s="30">
        <f t="shared" ref="J62:R62" si="25" xml:space="preserve"> IF(AND($F60 &gt; I61, $F60 &lt;= J61), 1, 0)</f>
        <v>0</v>
      </c>
      <c r="K62" s="30">
        <f t="shared" si="25"/>
        <v>0</v>
      </c>
      <c r="L62" s="30">
        <f t="shared" si="25"/>
        <v>0</v>
      </c>
      <c r="M62" s="30">
        <f t="shared" si="25"/>
        <v>0</v>
      </c>
      <c r="N62" s="30">
        <f t="shared" si="25"/>
        <v>0</v>
      </c>
      <c r="O62" s="30">
        <f t="shared" si="25"/>
        <v>0</v>
      </c>
      <c r="P62" s="30">
        <f t="shared" si="25"/>
        <v>0</v>
      </c>
      <c r="Q62" s="30">
        <f t="shared" si="25"/>
        <v>0</v>
      </c>
      <c r="R62" s="30">
        <f t="shared" si="25"/>
        <v>0</v>
      </c>
      <c r="S62" s="30">
        <f xml:space="preserve"> IF(AND($F60 &gt; R61, $F60 &lt;= S61), 1, 0)</f>
        <v>0</v>
      </c>
      <c r="T62" s="30">
        <f t="shared" ref="T62:X62" si="26" xml:space="preserve"> IF(AND($F60 &gt; S61, $F60 &lt;= T61), 1, 0)</f>
        <v>0</v>
      </c>
      <c r="U62" s="30">
        <f t="shared" si="26"/>
        <v>0</v>
      </c>
      <c r="V62" s="30">
        <f t="shared" si="26"/>
        <v>0</v>
      </c>
      <c r="W62" s="30">
        <f t="shared" si="26"/>
        <v>0</v>
      </c>
      <c r="X62" s="30">
        <f t="shared" si="26"/>
        <v>0</v>
      </c>
    </row>
    <row r="63" spans="1:24" x14ac:dyDescent="0.2"/>
    <row r="64" spans="1:24" x14ac:dyDescent="0.2">
      <c r="E64" s="397" t="str">
        <f t="shared" ref="E64:V64" si="27">E85</f>
        <v>1st Post Last Forecast Period Flag</v>
      </c>
      <c r="F64" s="397">
        <f t="shared" si="27"/>
        <v>0</v>
      </c>
      <c r="G64" s="397" t="str">
        <f t="shared" si="27"/>
        <v>flag</v>
      </c>
      <c r="H64" s="397">
        <f t="shared" si="27"/>
        <v>0</v>
      </c>
      <c r="I64" s="397">
        <f t="shared" si="27"/>
        <v>0</v>
      </c>
      <c r="J64" s="397">
        <f t="shared" si="27"/>
        <v>0</v>
      </c>
      <c r="K64" s="397">
        <f t="shared" si="27"/>
        <v>0</v>
      </c>
      <c r="L64" s="397">
        <f t="shared" si="27"/>
        <v>0</v>
      </c>
      <c r="M64" s="397">
        <f t="shared" si="27"/>
        <v>0</v>
      </c>
      <c r="N64" s="397">
        <f t="shared" si="27"/>
        <v>0</v>
      </c>
      <c r="O64" s="397">
        <f t="shared" si="27"/>
        <v>0</v>
      </c>
      <c r="P64" s="397">
        <f t="shared" si="27"/>
        <v>0</v>
      </c>
      <c r="Q64" s="397">
        <f t="shared" si="27"/>
        <v>0</v>
      </c>
      <c r="R64" s="397">
        <f t="shared" si="27"/>
        <v>0</v>
      </c>
      <c r="S64" s="397">
        <f t="shared" si="27"/>
        <v>0</v>
      </c>
      <c r="T64" s="397">
        <f t="shared" si="27"/>
        <v>0</v>
      </c>
      <c r="U64" s="397">
        <f t="shared" si="27"/>
        <v>0</v>
      </c>
      <c r="V64" s="397">
        <f t="shared" si="27"/>
        <v>0</v>
      </c>
      <c r="W64" s="397">
        <f t="shared" ref="W64:X64" si="28">W85</f>
        <v>0</v>
      </c>
      <c r="X64" s="397">
        <f t="shared" si="28"/>
        <v>0</v>
      </c>
    </row>
    <row r="65" spans="5:24" x14ac:dyDescent="0.2">
      <c r="E65" s="397" t="str">
        <f>E$62</f>
        <v>Last post-forecast modelled period flag</v>
      </c>
      <c r="F65" s="397">
        <f t="shared" ref="F65:X65" si="29">F$62</f>
        <v>0</v>
      </c>
      <c r="G65" s="397">
        <f t="shared" si="29"/>
        <v>0</v>
      </c>
      <c r="H65" s="397">
        <f t="shared" si="29"/>
        <v>0</v>
      </c>
      <c r="I65" s="397">
        <f t="shared" si="29"/>
        <v>0</v>
      </c>
      <c r="J65" s="397">
        <f t="shared" si="29"/>
        <v>0</v>
      </c>
      <c r="K65" s="397">
        <f t="shared" si="29"/>
        <v>0</v>
      </c>
      <c r="L65" s="397">
        <f t="shared" si="29"/>
        <v>0</v>
      </c>
      <c r="M65" s="397">
        <f t="shared" si="29"/>
        <v>0</v>
      </c>
      <c r="N65" s="397">
        <f t="shared" si="29"/>
        <v>0</v>
      </c>
      <c r="O65" s="397">
        <f t="shared" si="29"/>
        <v>0</v>
      </c>
      <c r="P65" s="397">
        <f t="shared" si="29"/>
        <v>0</v>
      </c>
      <c r="Q65" s="397">
        <f t="shared" si="29"/>
        <v>0</v>
      </c>
      <c r="R65" s="397">
        <f t="shared" si="29"/>
        <v>0</v>
      </c>
      <c r="S65" s="397">
        <f t="shared" si="29"/>
        <v>0</v>
      </c>
      <c r="T65" s="397">
        <f t="shared" si="29"/>
        <v>0</v>
      </c>
      <c r="U65" s="397">
        <f t="shared" si="29"/>
        <v>0</v>
      </c>
      <c r="V65" s="397">
        <f t="shared" si="29"/>
        <v>0</v>
      </c>
      <c r="W65" s="397">
        <f t="shared" si="29"/>
        <v>0</v>
      </c>
      <c r="X65" s="397">
        <f t="shared" si="29"/>
        <v>0</v>
      </c>
    </row>
    <row r="66" spans="5:24" x14ac:dyDescent="0.2">
      <c r="E66" s="7" t="s">
        <v>665</v>
      </c>
      <c r="J66" s="30">
        <f t="shared" ref="J66:R66" si="30" xml:space="preserve"> J64 - I65 + I66</f>
        <v>0</v>
      </c>
      <c r="K66" s="30">
        <f t="shared" si="30"/>
        <v>0</v>
      </c>
      <c r="L66" s="30">
        <f t="shared" si="30"/>
        <v>0</v>
      </c>
      <c r="M66" s="30">
        <f t="shared" si="30"/>
        <v>0</v>
      </c>
      <c r="N66" s="30">
        <f t="shared" si="30"/>
        <v>0</v>
      </c>
      <c r="O66" s="30">
        <f t="shared" si="30"/>
        <v>0</v>
      </c>
      <c r="P66" s="30">
        <f t="shared" si="30"/>
        <v>0</v>
      </c>
      <c r="Q66" s="30">
        <f t="shared" si="30"/>
        <v>0</v>
      </c>
      <c r="R66" s="30">
        <f t="shared" si="30"/>
        <v>0</v>
      </c>
      <c r="S66" s="30">
        <f xml:space="preserve"> S64 - R65 + R66</f>
        <v>0</v>
      </c>
      <c r="T66" s="30">
        <f xml:space="preserve"> T64 - S65 + S66</f>
        <v>0</v>
      </c>
      <c r="U66" s="30">
        <f t="shared" ref="U66:X66" si="31" xml:space="preserve"> U64 - T65 + T66</f>
        <v>0</v>
      </c>
      <c r="V66" s="30">
        <f t="shared" si="31"/>
        <v>0</v>
      </c>
      <c r="W66" s="30">
        <f t="shared" si="31"/>
        <v>0</v>
      </c>
      <c r="X66" s="30">
        <f t="shared" si="31"/>
        <v>0</v>
      </c>
    </row>
    <row r="67" spans="5:24" x14ac:dyDescent="0.2"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</row>
    <row r="68" spans="5:24" x14ac:dyDescent="0.2">
      <c r="E68" s="7" t="str">
        <f xml:space="preserve"> E$45</f>
        <v>1st Forecast Period Flag</v>
      </c>
      <c r="F68" s="7">
        <f t="shared" ref="F68:X68" si="32" xml:space="preserve"> F$45</f>
        <v>0</v>
      </c>
      <c r="G68" s="7" t="str">
        <f t="shared" si="32"/>
        <v>flag</v>
      </c>
      <c r="H68" s="7">
        <f t="shared" si="32"/>
        <v>1</v>
      </c>
      <c r="I68" s="7">
        <f t="shared" si="32"/>
        <v>0</v>
      </c>
      <c r="J68" s="7">
        <f t="shared" si="32"/>
        <v>0</v>
      </c>
      <c r="K68" s="7">
        <f t="shared" si="32"/>
        <v>0</v>
      </c>
      <c r="L68" s="7">
        <f t="shared" si="32"/>
        <v>0</v>
      </c>
      <c r="M68" s="7">
        <f t="shared" si="32"/>
        <v>0</v>
      </c>
      <c r="N68" s="7">
        <f t="shared" si="32"/>
        <v>0</v>
      </c>
      <c r="O68" s="397">
        <f t="shared" si="32"/>
        <v>0</v>
      </c>
      <c r="P68" s="7">
        <f t="shared" si="32"/>
        <v>0</v>
      </c>
      <c r="Q68" s="7">
        <f t="shared" si="32"/>
        <v>0</v>
      </c>
      <c r="R68" s="7">
        <f t="shared" si="32"/>
        <v>0</v>
      </c>
      <c r="S68" s="7">
        <f t="shared" si="32"/>
        <v>0</v>
      </c>
      <c r="T68" s="7">
        <f t="shared" si="32"/>
        <v>1</v>
      </c>
      <c r="U68" s="7">
        <f t="shared" si="32"/>
        <v>0</v>
      </c>
      <c r="V68" s="7">
        <f t="shared" si="32"/>
        <v>0</v>
      </c>
      <c r="W68" s="7">
        <f t="shared" si="32"/>
        <v>0</v>
      </c>
      <c r="X68" s="7">
        <f t="shared" si="32"/>
        <v>0</v>
      </c>
    </row>
    <row r="69" spans="5:24" x14ac:dyDescent="0.2">
      <c r="E69" s="397" t="str">
        <f>E$62</f>
        <v>Last post-forecast modelled period flag</v>
      </c>
      <c r="F69" s="397">
        <f t="shared" ref="F69:X69" si="33">F$62</f>
        <v>0</v>
      </c>
      <c r="G69" s="397">
        <f t="shared" si="33"/>
        <v>0</v>
      </c>
      <c r="H69" s="397">
        <f t="shared" si="33"/>
        <v>0</v>
      </c>
      <c r="I69" s="397">
        <f t="shared" si="33"/>
        <v>0</v>
      </c>
      <c r="J69" s="397">
        <f t="shared" si="33"/>
        <v>0</v>
      </c>
      <c r="K69" s="397">
        <f t="shared" si="33"/>
        <v>0</v>
      </c>
      <c r="L69" s="397">
        <f t="shared" si="33"/>
        <v>0</v>
      </c>
      <c r="M69" s="397">
        <f t="shared" si="33"/>
        <v>0</v>
      </c>
      <c r="N69" s="397">
        <f t="shared" si="33"/>
        <v>0</v>
      </c>
      <c r="O69" s="397">
        <f t="shared" si="33"/>
        <v>0</v>
      </c>
      <c r="P69" s="397">
        <f t="shared" si="33"/>
        <v>0</v>
      </c>
      <c r="Q69" s="397">
        <f t="shared" si="33"/>
        <v>0</v>
      </c>
      <c r="R69" s="397">
        <f t="shared" si="33"/>
        <v>0</v>
      </c>
      <c r="S69" s="397">
        <f t="shared" si="33"/>
        <v>0</v>
      </c>
      <c r="T69" s="397">
        <f t="shared" si="33"/>
        <v>0</v>
      </c>
      <c r="U69" s="397">
        <f t="shared" si="33"/>
        <v>0</v>
      </c>
      <c r="V69" s="397">
        <f t="shared" si="33"/>
        <v>0</v>
      </c>
      <c r="W69" s="397">
        <f t="shared" si="33"/>
        <v>0</v>
      </c>
      <c r="X69" s="397">
        <f t="shared" si="33"/>
        <v>0</v>
      </c>
    </row>
    <row r="70" spans="5:24" x14ac:dyDescent="0.2">
      <c r="E70" s="7" t="s">
        <v>666</v>
      </c>
      <c r="J70" s="30">
        <f t="shared" ref="J70" si="34" xml:space="preserve"> J68 - I69 + I70</f>
        <v>0</v>
      </c>
      <c r="K70" s="30">
        <f xml:space="preserve"> K68 - J69 + J70</f>
        <v>0</v>
      </c>
      <c r="L70" s="30">
        <f t="shared" ref="L70:X70" si="35" xml:space="preserve"> L68 - K69 + K70</f>
        <v>0</v>
      </c>
      <c r="M70" s="30">
        <f t="shared" si="35"/>
        <v>0</v>
      </c>
      <c r="N70" s="30">
        <f t="shared" si="35"/>
        <v>0</v>
      </c>
      <c r="O70" s="30">
        <f t="shared" si="35"/>
        <v>0</v>
      </c>
      <c r="P70" s="30">
        <f t="shared" si="35"/>
        <v>0</v>
      </c>
      <c r="Q70" s="30">
        <f t="shared" si="35"/>
        <v>0</v>
      </c>
      <c r="R70" s="30">
        <f t="shared" si="35"/>
        <v>0</v>
      </c>
      <c r="S70" s="30">
        <f t="shared" si="35"/>
        <v>0</v>
      </c>
      <c r="T70" s="30">
        <f t="shared" si="35"/>
        <v>1</v>
      </c>
      <c r="U70" s="30">
        <f t="shared" si="35"/>
        <v>1</v>
      </c>
      <c r="V70" s="30">
        <f t="shared" si="35"/>
        <v>1</v>
      </c>
      <c r="W70" s="30">
        <f t="shared" si="35"/>
        <v>1</v>
      </c>
      <c r="X70" s="30">
        <f t="shared" si="35"/>
        <v>1</v>
      </c>
    </row>
    <row r="71" spans="5:24" x14ac:dyDescent="0.2"/>
    <row r="72" spans="5:24" x14ac:dyDescent="0.2">
      <c r="E72" s="7" t="str">
        <f t="shared" ref="E72:X72" si="36" xml:space="preserve"> E$34</f>
        <v>Pre Forecast Period Flag</v>
      </c>
      <c r="F72" s="30">
        <f t="shared" si="36"/>
        <v>0</v>
      </c>
      <c r="G72" s="30" t="str">
        <f t="shared" si="36"/>
        <v>flag</v>
      </c>
      <c r="H72" s="30">
        <f t="shared" si="36"/>
        <v>10</v>
      </c>
      <c r="I72" s="30">
        <f t="shared" si="36"/>
        <v>0</v>
      </c>
      <c r="J72" s="30">
        <f t="shared" si="36"/>
        <v>1</v>
      </c>
      <c r="K72" s="30">
        <f t="shared" si="36"/>
        <v>1</v>
      </c>
      <c r="L72" s="30">
        <f t="shared" si="36"/>
        <v>1</v>
      </c>
      <c r="M72" s="30">
        <f t="shared" si="36"/>
        <v>1</v>
      </c>
      <c r="N72" s="30">
        <f t="shared" si="36"/>
        <v>1</v>
      </c>
      <c r="O72" s="30">
        <f t="shared" si="36"/>
        <v>1</v>
      </c>
      <c r="P72" s="30">
        <f t="shared" si="36"/>
        <v>1</v>
      </c>
      <c r="Q72" s="30">
        <f t="shared" si="36"/>
        <v>1</v>
      </c>
      <c r="R72" s="30">
        <f t="shared" si="36"/>
        <v>1</v>
      </c>
      <c r="S72" s="30">
        <f t="shared" si="36"/>
        <v>1</v>
      </c>
      <c r="T72" s="30">
        <f t="shared" si="36"/>
        <v>0</v>
      </c>
      <c r="U72" s="30">
        <f t="shared" si="36"/>
        <v>0</v>
      </c>
      <c r="V72" s="30">
        <f t="shared" si="36"/>
        <v>0</v>
      </c>
      <c r="W72" s="30">
        <f t="shared" si="36"/>
        <v>0</v>
      </c>
      <c r="X72" s="30">
        <f t="shared" si="36"/>
        <v>0</v>
      </c>
    </row>
    <row r="73" spans="5:24" x14ac:dyDescent="0.2">
      <c r="E73" s="7" t="str">
        <f xml:space="preserve"> E$53</f>
        <v>Forecast Period Flag</v>
      </c>
      <c r="F73" s="30">
        <f t="shared" ref="F73:X73" si="37" xml:space="preserve"> F$53</f>
        <v>0</v>
      </c>
      <c r="G73" s="30" t="str">
        <f t="shared" si="37"/>
        <v>flag</v>
      </c>
      <c r="H73" s="30">
        <f t="shared" si="37"/>
        <v>5</v>
      </c>
      <c r="I73" s="30">
        <f t="shared" si="37"/>
        <v>0</v>
      </c>
      <c r="J73" s="30">
        <f t="shared" si="37"/>
        <v>0</v>
      </c>
      <c r="K73" s="30">
        <f t="shared" si="37"/>
        <v>0</v>
      </c>
      <c r="L73" s="30">
        <f t="shared" si="37"/>
        <v>0</v>
      </c>
      <c r="M73" s="30">
        <f t="shared" si="37"/>
        <v>0</v>
      </c>
      <c r="N73" s="30">
        <f t="shared" si="37"/>
        <v>0</v>
      </c>
      <c r="O73" s="30">
        <f t="shared" si="37"/>
        <v>0</v>
      </c>
      <c r="P73" s="30">
        <f t="shared" si="37"/>
        <v>0</v>
      </c>
      <c r="Q73" s="30">
        <f t="shared" si="37"/>
        <v>0</v>
      </c>
      <c r="R73" s="30">
        <f t="shared" si="37"/>
        <v>0</v>
      </c>
      <c r="S73" s="30">
        <f t="shared" si="37"/>
        <v>0</v>
      </c>
      <c r="T73" s="30">
        <f t="shared" si="37"/>
        <v>1</v>
      </c>
      <c r="U73" s="30">
        <f t="shared" si="37"/>
        <v>1</v>
      </c>
      <c r="V73" s="30">
        <f t="shared" si="37"/>
        <v>1</v>
      </c>
      <c r="W73" s="30">
        <f t="shared" si="37"/>
        <v>1</v>
      </c>
      <c r="X73" s="30">
        <f t="shared" si="37"/>
        <v>1</v>
      </c>
    </row>
    <row r="74" spans="5:24" x14ac:dyDescent="0.2">
      <c r="E74" s="7" t="s">
        <v>663</v>
      </c>
      <c r="G74" s="30" t="s">
        <v>644</v>
      </c>
      <c r="J74" s="30" t="str">
        <f t="shared" ref="J74:S74" si="38" xml:space="preserve"> IF(J72 = 1, "Pre Fcst", IF(J73 = 1, "Forecast", "Post-Fcst"))</f>
        <v>Pre Fcst</v>
      </c>
      <c r="K74" s="30" t="str">
        <f t="shared" si="38"/>
        <v>Pre Fcst</v>
      </c>
      <c r="L74" s="30" t="str">
        <f t="shared" si="38"/>
        <v>Pre Fcst</v>
      </c>
      <c r="M74" s="30" t="str">
        <f t="shared" si="38"/>
        <v>Pre Fcst</v>
      </c>
      <c r="N74" s="30" t="str">
        <f t="shared" si="38"/>
        <v>Pre Fcst</v>
      </c>
      <c r="O74" s="30" t="str">
        <f t="shared" si="38"/>
        <v>Pre Fcst</v>
      </c>
      <c r="P74" s="30" t="str">
        <f t="shared" si="38"/>
        <v>Pre Fcst</v>
      </c>
      <c r="Q74" s="30" t="str">
        <f t="shared" si="38"/>
        <v>Pre Fcst</v>
      </c>
      <c r="R74" s="30" t="str">
        <f t="shared" si="38"/>
        <v>Pre Fcst</v>
      </c>
      <c r="S74" s="30" t="str">
        <f t="shared" si="38"/>
        <v>Pre Fcst</v>
      </c>
      <c r="T74" s="30" t="str">
        <f xml:space="preserve"> IF(T72 = 1, "Pre Fcst", IF(T73 = 1, "Forecast", "Post-Fcst"))</f>
        <v>Forecast</v>
      </c>
      <c r="U74" s="30" t="str">
        <f xml:space="preserve"> IF(U72 = 1, "Pre Fcst", IF(U73 = 1, "Forecast", "Post-Fcst"))</f>
        <v>Forecast</v>
      </c>
      <c r="V74" s="30" t="str">
        <f xml:space="preserve"> IF(V72 = 1, "Pre Fcst", IF(V73 = 1, "Forecast", "Post-Fcst"))</f>
        <v>Forecast</v>
      </c>
      <c r="W74" s="30" t="str">
        <f xml:space="preserve"> IF(W72 = 1, "Pre Fcst", IF(W73 = 1, "Forecast", "Post-Fcst"))</f>
        <v>Forecast</v>
      </c>
      <c r="X74" s="30" t="str">
        <f xml:space="preserve"> IF(X72 = 1, "Pre Fcst", IF(X73 = 1, "Forecast", "Post-Fcst"))</f>
        <v>Forecast</v>
      </c>
    </row>
    <row r="75" spans="5:24" x14ac:dyDescent="0.2"/>
    <row r="76" spans="5:24" x14ac:dyDescent="0.2"/>
    <row r="77" spans="5:24" x14ac:dyDescent="0.2">
      <c r="E77" s="397" t="str">
        <f>E$66</f>
        <v>Post Forecast modelled period flag</v>
      </c>
      <c r="F77" s="397">
        <f t="shared" ref="F77:X77" si="39">F$66</f>
        <v>0</v>
      </c>
      <c r="G77" s="397">
        <f t="shared" si="39"/>
        <v>0</v>
      </c>
      <c r="H77" s="397">
        <f t="shared" si="39"/>
        <v>0</v>
      </c>
      <c r="I77" s="397">
        <f t="shared" si="39"/>
        <v>0</v>
      </c>
      <c r="J77" s="397">
        <f t="shared" si="39"/>
        <v>0</v>
      </c>
      <c r="K77" s="397">
        <f t="shared" si="39"/>
        <v>0</v>
      </c>
      <c r="L77" s="397">
        <f t="shared" si="39"/>
        <v>0</v>
      </c>
      <c r="M77" s="397">
        <f t="shared" si="39"/>
        <v>0</v>
      </c>
      <c r="N77" s="397">
        <f t="shared" si="39"/>
        <v>0</v>
      </c>
      <c r="O77" s="397">
        <f t="shared" si="39"/>
        <v>0</v>
      </c>
      <c r="P77" s="397">
        <f t="shared" si="39"/>
        <v>0</v>
      </c>
      <c r="Q77" s="397">
        <f t="shared" si="39"/>
        <v>0</v>
      </c>
      <c r="R77" s="397">
        <f t="shared" si="39"/>
        <v>0</v>
      </c>
      <c r="S77" s="397">
        <f t="shared" si="39"/>
        <v>0</v>
      </c>
      <c r="T77" s="397">
        <f t="shared" si="39"/>
        <v>0</v>
      </c>
      <c r="U77" s="397">
        <f t="shared" si="39"/>
        <v>0</v>
      </c>
      <c r="V77" s="397">
        <f t="shared" si="39"/>
        <v>0</v>
      </c>
      <c r="W77" s="397">
        <f t="shared" si="39"/>
        <v>0</v>
      </c>
      <c r="X77" s="397">
        <f t="shared" si="39"/>
        <v>0</v>
      </c>
    </row>
    <row r="78" spans="5:24" x14ac:dyDescent="0.2">
      <c r="E78" s="7" t="str">
        <f>E74</f>
        <v>Pre Forecast vs Forecast</v>
      </c>
      <c r="F78" s="7">
        <f t="shared" ref="F78:V78" si="40">F74</f>
        <v>0</v>
      </c>
      <c r="G78" s="7" t="str">
        <f t="shared" si="40"/>
        <v>flag</v>
      </c>
      <c r="H78" s="7">
        <f t="shared" si="40"/>
        <v>0</v>
      </c>
      <c r="I78" s="7">
        <f t="shared" si="40"/>
        <v>0</v>
      </c>
      <c r="J78" s="7" t="str">
        <f t="shared" si="40"/>
        <v>Pre Fcst</v>
      </c>
      <c r="K78" s="7" t="str">
        <f t="shared" si="40"/>
        <v>Pre Fcst</v>
      </c>
      <c r="L78" s="7" t="str">
        <f t="shared" si="40"/>
        <v>Pre Fcst</v>
      </c>
      <c r="M78" s="7" t="str">
        <f t="shared" si="40"/>
        <v>Pre Fcst</v>
      </c>
      <c r="N78" s="7" t="str">
        <f t="shared" si="40"/>
        <v>Pre Fcst</v>
      </c>
      <c r="O78" s="7" t="str">
        <f t="shared" si="40"/>
        <v>Pre Fcst</v>
      </c>
      <c r="P78" s="7" t="str">
        <f t="shared" si="40"/>
        <v>Pre Fcst</v>
      </c>
      <c r="Q78" s="7" t="str">
        <f t="shared" si="40"/>
        <v>Pre Fcst</v>
      </c>
      <c r="R78" s="7" t="str">
        <f t="shared" si="40"/>
        <v>Pre Fcst</v>
      </c>
      <c r="S78" s="7" t="str">
        <f t="shared" si="40"/>
        <v>Pre Fcst</v>
      </c>
      <c r="T78" s="7" t="str">
        <f t="shared" si="40"/>
        <v>Forecast</v>
      </c>
      <c r="U78" s="7" t="str">
        <f t="shared" si="40"/>
        <v>Forecast</v>
      </c>
      <c r="V78" s="7" t="str">
        <f t="shared" si="40"/>
        <v>Forecast</v>
      </c>
      <c r="W78" s="7" t="str">
        <f t="shared" ref="W78:X78" si="41">W74</f>
        <v>Forecast</v>
      </c>
      <c r="X78" s="7" t="str">
        <f t="shared" si="41"/>
        <v>Forecast</v>
      </c>
    </row>
    <row r="79" spans="5:24" x14ac:dyDescent="0.2">
      <c r="E79" s="7" t="s">
        <v>663</v>
      </c>
      <c r="G79" s="30" t="s">
        <v>644</v>
      </c>
      <c r="J79" s="30" t="str">
        <f t="shared" ref="J79:S79" si="42" xml:space="preserve"> IF(J77 = 1, "Post-Fcst Mod", J78)</f>
        <v>Pre Fcst</v>
      </c>
      <c r="K79" s="30" t="str">
        <f t="shared" si="42"/>
        <v>Pre Fcst</v>
      </c>
      <c r="L79" s="30" t="str">
        <f t="shared" si="42"/>
        <v>Pre Fcst</v>
      </c>
      <c r="M79" s="30" t="str">
        <f t="shared" si="42"/>
        <v>Pre Fcst</v>
      </c>
      <c r="N79" s="30" t="str">
        <f t="shared" si="42"/>
        <v>Pre Fcst</v>
      </c>
      <c r="O79" s="30" t="str">
        <f t="shared" si="42"/>
        <v>Pre Fcst</v>
      </c>
      <c r="P79" s="30" t="str">
        <f t="shared" si="42"/>
        <v>Pre Fcst</v>
      </c>
      <c r="Q79" s="30" t="str">
        <f t="shared" si="42"/>
        <v>Pre Fcst</v>
      </c>
      <c r="R79" s="30" t="str">
        <f t="shared" si="42"/>
        <v>Pre Fcst</v>
      </c>
      <c r="S79" s="30" t="str">
        <f t="shared" si="42"/>
        <v>Pre Fcst</v>
      </c>
      <c r="T79" s="30" t="str">
        <f xml:space="preserve"> IF(T77 = 1, "Post-Fcst Mod", T78)</f>
        <v>Forecast</v>
      </c>
      <c r="U79" s="30" t="str">
        <f t="shared" ref="U79:V79" si="43" xml:space="preserve"> IF(U77 = 1, "Post-Fcst Mod", U78)</f>
        <v>Forecast</v>
      </c>
      <c r="V79" s="30" t="str">
        <f t="shared" si="43"/>
        <v>Forecast</v>
      </c>
      <c r="W79" s="30" t="str">
        <f t="shared" ref="W79:X79" si="44" xml:space="preserve"> IF(W77 = 1, "Post-Fcst Mod", W78)</f>
        <v>Forecast</v>
      </c>
      <c r="X79" s="30" t="str">
        <f t="shared" si="44"/>
        <v>Forecast</v>
      </c>
    </row>
    <row r="80" spans="5:24" x14ac:dyDescent="0.2"/>
    <row r="81" spans="1:24" x14ac:dyDescent="0.2"/>
    <row r="82" spans="1:24" s="209" customFormat="1" ht="13.5" x14ac:dyDescent="0.25">
      <c r="A82" s="209" t="s">
        <v>667</v>
      </c>
    </row>
    <row r="83" spans="1:24" x14ac:dyDescent="0.2"/>
    <row r="84" spans="1:24" x14ac:dyDescent="0.2">
      <c r="E84" s="7" t="str">
        <f t="shared" ref="E84:X84" si="45" xml:space="preserve"> E$49</f>
        <v>Last Forecast Period Flag</v>
      </c>
      <c r="F84" s="30">
        <f t="shared" si="45"/>
        <v>0</v>
      </c>
      <c r="G84" s="30" t="str">
        <f t="shared" si="45"/>
        <v>flag</v>
      </c>
      <c r="H84" s="30">
        <f t="shared" si="45"/>
        <v>1</v>
      </c>
      <c r="I84" s="30">
        <f t="shared" si="45"/>
        <v>0</v>
      </c>
      <c r="J84" s="30">
        <f t="shared" si="45"/>
        <v>0</v>
      </c>
      <c r="K84" s="30">
        <f t="shared" si="45"/>
        <v>0</v>
      </c>
      <c r="L84" s="30">
        <f t="shared" si="45"/>
        <v>0</v>
      </c>
      <c r="M84" s="30">
        <f t="shared" si="45"/>
        <v>0</v>
      </c>
      <c r="N84" s="30">
        <f t="shared" si="45"/>
        <v>0</v>
      </c>
      <c r="O84" s="30">
        <f t="shared" si="45"/>
        <v>0</v>
      </c>
      <c r="P84" s="30">
        <f t="shared" si="45"/>
        <v>0</v>
      </c>
      <c r="Q84" s="30">
        <f t="shared" si="45"/>
        <v>0</v>
      </c>
      <c r="R84" s="30">
        <f t="shared" si="45"/>
        <v>0</v>
      </c>
      <c r="S84" s="30">
        <f t="shared" si="45"/>
        <v>0</v>
      </c>
      <c r="T84" s="30">
        <f t="shared" si="45"/>
        <v>0</v>
      </c>
      <c r="U84" s="30">
        <f t="shared" si="45"/>
        <v>0</v>
      </c>
      <c r="V84" s="30">
        <f t="shared" si="45"/>
        <v>0</v>
      </c>
      <c r="W84" s="30">
        <f t="shared" si="45"/>
        <v>0</v>
      </c>
      <c r="X84" s="30">
        <f t="shared" si="45"/>
        <v>1</v>
      </c>
    </row>
    <row r="85" spans="1:24" x14ac:dyDescent="0.2">
      <c r="E85" s="7" t="s">
        <v>668</v>
      </c>
      <c r="G85" s="30" t="s">
        <v>644</v>
      </c>
      <c r="H85" s="30">
        <f xml:space="preserve"> SUM(J85:CA85)</f>
        <v>0</v>
      </c>
      <c r="J85" s="30">
        <f t="shared" ref="J85:X85" si="46" xml:space="preserve"> I84</f>
        <v>0</v>
      </c>
      <c r="K85" s="30">
        <f t="shared" si="46"/>
        <v>0</v>
      </c>
      <c r="L85" s="30">
        <f t="shared" si="46"/>
        <v>0</v>
      </c>
      <c r="M85" s="30">
        <f t="shared" si="46"/>
        <v>0</v>
      </c>
      <c r="N85" s="30">
        <f t="shared" si="46"/>
        <v>0</v>
      </c>
      <c r="O85" s="30">
        <f t="shared" si="46"/>
        <v>0</v>
      </c>
      <c r="P85" s="30">
        <f t="shared" si="46"/>
        <v>0</v>
      </c>
      <c r="Q85" s="30">
        <f t="shared" si="46"/>
        <v>0</v>
      </c>
      <c r="R85" s="30">
        <f t="shared" si="46"/>
        <v>0</v>
      </c>
      <c r="S85" s="30">
        <f t="shared" si="46"/>
        <v>0</v>
      </c>
      <c r="T85" s="30">
        <f t="shared" si="46"/>
        <v>0</v>
      </c>
      <c r="U85" s="30">
        <f t="shared" si="46"/>
        <v>0</v>
      </c>
      <c r="V85" s="30">
        <f t="shared" si="46"/>
        <v>0</v>
      </c>
      <c r="W85" s="30">
        <f t="shared" si="46"/>
        <v>0</v>
      </c>
      <c r="X85" s="30">
        <f t="shared" si="46"/>
        <v>0</v>
      </c>
    </row>
    <row r="86" spans="1:24" x14ac:dyDescent="0.2"/>
    <row r="87" spans="1:24" x14ac:dyDescent="0.2">
      <c r="E87" s="7" t="str">
        <f t="shared" ref="E87:X87" si="47" xml:space="preserve"> E$85</f>
        <v>1st Post Last Forecast Period Flag</v>
      </c>
      <c r="F87" s="30">
        <f t="shared" si="47"/>
        <v>0</v>
      </c>
      <c r="G87" s="30" t="str">
        <f t="shared" si="47"/>
        <v>flag</v>
      </c>
      <c r="H87" s="30">
        <f t="shared" si="47"/>
        <v>0</v>
      </c>
      <c r="I87" s="30">
        <f t="shared" si="47"/>
        <v>0</v>
      </c>
      <c r="J87" s="30">
        <f t="shared" si="47"/>
        <v>0</v>
      </c>
      <c r="K87" s="30">
        <f t="shared" si="47"/>
        <v>0</v>
      </c>
      <c r="L87" s="30">
        <f t="shared" si="47"/>
        <v>0</v>
      </c>
      <c r="M87" s="30">
        <f t="shared" si="47"/>
        <v>0</v>
      </c>
      <c r="N87" s="30">
        <f t="shared" si="47"/>
        <v>0</v>
      </c>
      <c r="O87" s="30">
        <f t="shared" si="47"/>
        <v>0</v>
      </c>
      <c r="P87" s="30">
        <f t="shared" si="47"/>
        <v>0</v>
      </c>
      <c r="Q87" s="30">
        <f t="shared" si="47"/>
        <v>0</v>
      </c>
      <c r="R87" s="30">
        <f t="shared" si="47"/>
        <v>0</v>
      </c>
      <c r="S87" s="30">
        <f t="shared" si="47"/>
        <v>0</v>
      </c>
      <c r="T87" s="30">
        <f t="shared" si="47"/>
        <v>0</v>
      </c>
      <c r="U87" s="30">
        <f t="shared" si="47"/>
        <v>0</v>
      </c>
      <c r="V87" s="30">
        <f t="shared" si="47"/>
        <v>0</v>
      </c>
      <c r="W87" s="30">
        <f t="shared" si="47"/>
        <v>0</v>
      </c>
      <c r="X87" s="30">
        <f t="shared" si="47"/>
        <v>0</v>
      </c>
    </row>
    <row r="88" spans="1:24" x14ac:dyDescent="0.2">
      <c r="E88" s="7" t="s">
        <v>669</v>
      </c>
      <c r="G88" s="30" t="s">
        <v>644</v>
      </c>
      <c r="H88" s="30">
        <f xml:space="preserve"> SUM(J88:CA88)</f>
        <v>0</v>
      </c>
      <c r="J88" s="30">
        <f t="shared" ref="J88:X88" si="48" xml:space="preserve"> I88 + J87</f>
        <v>0</v>
      </c>
      <c r="K88" s="30">
        <f t="shared" si="48"/>
        <v>0</v>
      </c>
      <c r="L88" s="30">
        <f t="shared" si="48"/>
        <v>0</v>
      </c>
      <c r="M88" s="30">
        <f t="shared" si="48"/>
        <v>0</v>
      </c>
      <c r="N88" s="30">
        <f t="shared" si="48"/>
        <v>0</v>
      </c>
      <c r="O88" s="30">
        <f t="shared" si="48"/>
        <v>0</v>
      </c>
      <c r="P88" s="30">
        <f t="shared" si="48"/>
        <v>0</v>
      </c>
      <c r="Q88" s="30">
        <f t="shared" si="48"/>
        <v>0</v>
      </c>
      <c r="R88" s="30">
        <f t="shared" si="48"/>
        <v>0</v>
      </c>
      <c r="S88" s="30">
        <f t="shared" si="48"/>
        <v>0</v>
      </c>
      <c r="T88" s="30">
        <f t="shared" si="48"/>
        <v>0</v>
      </c>
      <c r="U88" s="30">
        <f t="shared" si="48"/>
        <v>0</v>
      </c>
      <c r="V88" s="30">
        <f t="shared" si="48"/>
        <v>0</v>
      </c>
      <c r="W88" s="30">
        <f t="shared" si="48"/>
        <v>0</v>
      </c>
      <c r="X88" s="30">
        <f t="shared" si="48"/>
        <v>0</v>
      </c>
    </row>
    <row r="89" spans="1:24" x14ac:dyDescent="0.2">
      <c r="E89" s="7" t="s">
        <v>670</v>
      </c>
      <c r="F89" s="30">
        <f xml:space="preserve"> SUM(J88:CA88)</f>
        <v>0</v>
      </c>
      <c r="G89" s="30" t="s">
        <v>656</v>
      </c>
    </row>
    <row r="90" spans="1:24" x14ac:dyDescent="0.2"/>
    <row r="91" spans="1:24" x14ac:dyDescent="0.2"/>
    <row r="92" spans="1:24" s="209" customFormat="1" ht="13.5" x14ac:dyDescent="0.25">
      <c r="A92" s="209" t="s">
        <v>671</v>
      </c>
    </row>
    <row r="93" spans="1:24" x14ac:dyDescent="0.2"/>
    <row r="94" spans="1:24" x14ac:dyDescent="0.2">
      <c r="E94" s="7" t="str">
        <f xml:space="preserve"> E$11</f>
        <v>Model Column Total</v>
      </c>
      <c r="F94" s="30">
        <f xml:space="preserve"> F$11</f>
        <v>15</v>
      </c>
      <c r="G94" s="30" t="str">
        <f xml:space="preserve"> G$11</f>
        <v>column</v>
      </c>
    </row>
    <row r="95" spans="1:24" x14ac:dyDescent="0.2">
      <c r="D95" s="23" t="s">
        <v>649</v>
      </c>
      <c r="E95" s="7" t="str">
        <f xml:space="preserve"> E$35</f>
        <v>Pre Forecast Period Total</v>
      </c>
      <c r="F95" s="30">
        <f xml:space="preserve"> F$35</f>
        <v>10</v>
      </c>
      <c r="G95" s="30" t="str">
        <f xml:space="preserve"> G$35</f>
        <v>columns</v>
      </c>
    </row>
    <row r="96" spans="1:24" x14ac:dyDescent="0.2">
      <c r="D96" s="23" t="s">
        <v>649</v>
      </c>
      <c r="E96" s="7" t="str">
        <f xml:space="preserve"> E$54</f>
        <v xml:space="preserve">Forecast Period Total </v>
      </c>
      <c r="F96" s="30">
        <f xml:space="preserve"> F$54</f>
        <v>5</v>
      </c>
      <c r="G96" s="30" t="str">
        <f xml:space="preserve"> G$54</f>
        <v>columns</v>
      </c>
    </row>
    <row r="97" spans="1:24" x14ac:dyDescent="0.2">
      <c r="D97" s="23" t="s">
        <v>649</v>
      </c>
      <c r="E97" s="7" t="str">
        <f xml:space="preserve"> E$89</f>
        <v>Post Forecast Period Total</v>
      </c>
      <c r="F97" s="30">
        <f xml:space="preserve"> F$89</f>
        <v>0</v>
      </c>
      <c r="G97" s="30" t="str">
        <f xml:space="preserve"> G$89</f>
        <v>columns</v>
      </c>
    </row>
    <row r="98" spans="1:24" x14ac:dyDescent="0.2">
      <c r="E98" s="7" t="s">
        <v>672</v>
      </c>
      <c r="F98" s="73">
        <f xml:space="preserve"> IF(F94 - SUM(F95:F97) &lt;&gt; 0, 1, 0)</f>
        <v>0</v>
      </c>
      <c r="G98" s="30" t="s">
        <v>673</v>
      </c>
    </row>
    <row r="99" spans="1:24" x14ac:dyDescent="0.2"/>
    <row r="100" spans="1:24" x14ac:dyDescent="0.2">
      <c r="A100" s="74"/>
      <c r="B100" s="74" t="s">
        <v>674</v>
      </c>
    </row>
    <row r="101" spans="1:24" x14ac:dyDescent="0.2"/>
    <row r="102" spans="1:24" x14ac:dyDescent="0.2">
      <c r="E102" s="287" t="str">
        <f>InpActive!E166</f>
        <v>First modelling column financial year number</v>
      </c>
      <c r="F102" s="289">
        <f>InpActive!F166</f>
        <v>2016</v>
      </c>
      <c r="G102" s="290" t="str">
        <f>InpActive!G166</f>
        <v>year</v>
      </c>
    </row>
    <row r="103" spans="1:24" x14ac:dyDescent="0.2">
      <c r="E103" s="287" t="str">
        <f>InpActive!E167</f>
        <v>Financial year end month number</v>
      </c>
      <c r="F103" s="290">
        <f>InpActive!F167</f>
        <v>3</v>
      </c>
      <c r="G103" s="290" t="str">
        <f>InpActive!G167</f>
        <v>month #</v>
      </c>
    </row>
    <row r="104" spans="1:24" s="55" customFormat="1" x14ac:dyDescent="0.2">
      <c r="A104" s="51"/>
      <c r="B104" s="52"/>
      <c r="C104" s="53"/>
      <c r="D104" s="54"/>
      <c r="E104" s="7" t="str">
        <f t="shared" ref="E104:X104" si="49" xml:space="preserve"> E$22</f>
        <v>Model Period END</v>
      </c>
      <c r="F104" s="55">
        <f t="shared" si="49"/>
        <v>0</v>
      </c>
      <c r="G104" s="55" t="str">
        <f t="shared" si="49"/>
        <v>date</v>
      </c>
      <c r="H104" s="55">
        <f t="shared" si="49"/>
        <v>0</v>
      </c>
      <c r="I104" s="55">
        <f t="shared" si="49"/>
        <v>0</v>
      </c>
      <c r="J104" s="55">
        <f t="shared" si="49"/>
        <v>42460</v>
      </c>
      <c r="K104" s="55">
        <f t="shared" si="49"/>
        <v>42825</v>
      </c>
      <c r="L104" s="55">
        <f t="shared" si="49"/>
        <v>43190</v>
      </c>
      <c r="M104" s="55">
        <f t="shared" si="49"/>
        <v>43555</v>
      </c>
      <c r="N104" s="55">
        <f t="shared" si="49"/>
        <v>43921</v>
      </c>
      <c r="O104" s="55">
        <f t="shared" si="49"/>
        <v>44286</v>
      </c>
      <c r="P104" s="55">
        <f t="shared" si="49"/>
        <v>44651</v>
      </c>
      <c r="Q104" s="55">
        <f t="shared" si="49"/>
        <v>45016</v>
      </c>
      <c r="R104" s="55">
        <f t="shared" si="49"/>
        <v>45382</v>
      </c>
      <c r="S104" s="55">
        <f t="shared" si="49"/>
        <v>45747</v>
      </c>
      <c r="T104" s="55">
        <f t="shared" si="49"/>
        <v>46112</v>
      </c>
      <c r="U104" s="55">
        <f t="shared" si="49"/>
        <v>46477</v>
      </c>
      <c r="V104" s="55">
        <f t="shared" si="49"/>
        <v>46843</v>
      </c>
      <c r="W104" s="55">
        <f t="shared" si="49"/>
        <v>47208</v>
      </c>
      <c r="X104" s="55">
        <f t="shared" si="49"/>
        <v>47573</v>
      </c>
    </row>
    <row r="105" spans="1:24" x14ac:dyDescent="0.2">
      <c r="E105" s="7" t="str">
        <f t="shared" ref="E105:X105" si="50" xml:space="preserve"> E$14</f>
        <v>First model column flag</v>
      </c>
      <c r="F105" s="30">
        <f t="shared" si="50"/>
        <v>0</v>
      </c>
      <c r="G105" s="30" t="str">
        <f t="shared" si="50"/>
        <v>flag</v>
      </c>
      <c r="H105" s="30">
        <f t="shared" si="50"/>
        <v>1</v>
      </c>
      <c r="I105" s="30">
        <f t="shared" si="50"/>
        <v>0</v>
      </c>
      <c r="J105" s="30">
        <f t="shared" si="50"/>
        <v>1</v>
      </c>
      <c r="K105" s="30">
        <f t="shared" si="50"/>
        <v>0</v>
      </c>
      <c r="L105" s="30">
        <f t="shared" si="50"/>
        <v>0</v>
      </c>
      <c r="M105" s="30">
        <f t="shared" si="50"/>
        <v>0</v>
      </c>
      <c r="N105" s="30">
        <f t="shared" si="50"/>
        <v>0</v>
      </c>
      <c r="O105" s="30">
        <f t="shared" si="50"/>
        <v>0</v>
      </c>
      <c r="P105" s="30">
        <f t="shared" si="50"/>
        <v>0</v>
      </c>
      <c r="Q105" s="30">
        <f t="shared" si="50"/>
        <v>0</v>
      </c>
      <c r="R105" s="30">
        <f t="shared" si="50"/>
        <v>0</v>
      </c>
      <c r="S105" s="30">
        <f t="shared" si="50"/>
        <v>0</v>
      </c>
      <c r="T105" s="30">
        <f t="shared" si="50"/>
        <v>0</v>
      </c>
      <c r="U105" s="30">
        <f t="shared" si="50"/>
        <v>0</v>
      </c>
      <c r="V105" s="30">
        <f t="shared" si="50"/>
        <v>0</v>
      </c>
      <c r="W105" s="30">
        <f t="shared" si="50"/>
        <v>0</v>
      </c>
      <c r="X105" s="30">
        <f t="shared" si="50"/>
        <v>0</v>
      </c>
    </row>
    <row r="106" spans="1:24" s="57" customFormat="1" x14ac:dyDescent="0.2">
      <c r="A106" s="20"/>
      <c r="B106" s="21"/>
      <c r="C106" s="22"/>
      <c r="D106" s="23"/>
      <c r="E106" s="56" t="s">
        <v>675</v>
      </c>
      <c r="G106" s="57" t="s">
        <v>676</v>
      </c>
      <c r="J106" s="280">
        <f xml:space="preserve"> IF(J105 = 1, $F102, IF(J104 &gt; (DATE(I106, $F103 + 1, 1) - 1), I106 + 1, I106))</f>
        <v>2016</v>
      </c>
      <c r="K106" s="280">
        <f t="shared" ref="K106:X106" si="51" xml:space="preserve"> IF(K105 = 1, $F102, IF(K104 &gt; (DATE(J106, $F103 + 1, 1) - 1), J106 + 1, J106))</f>
        <v>2017</v>
      </c>
      <c r="L106" s="280">
        <f t="shared" si="51"/>
        <v>2018</v>
      </c>
      <c r="M106" s="280">
        <f t="shared" si="51"/>
        <v>2019</v>
      </c>
      <c r="N106" s="280">
        <f t="shared" si="51"/>
        <v>2020</v>
      </c>
      <c r="O106" s="280">
        <f t="shared" si="51"/>
        <v>2021</v>
      </c>
      <c r="P106" s="280">
        <f t="shared" si="51"/>
        <v>2022</v>
      </c>
      <c r="Q106" s="280">
        <f t="shared" si="51"/>
        <v>2023</v>
      </c>
      <c r="R106" s="280">
        <f t="shared" si="51"/>
        <v>2024</v>
      </c>
      <c r="S106" s="280">
        <f t="shared" si="51"/>
        <v>2025</v>
      </c>
      <c r="T106" s="280">
        <f t="shared" si="51"/>
        <v>2026</v>
      </c>
      <c r="U106" s="280">
        <f t="shared" si="51"/>
        <v>2027</v>
      </c>
      <c r="V106" s="280">
        <f t="shared" si="51"/>
        <v>2028</v>
      </c>
      <c r="W106" s="280">
        <f t="shared" si="51"/>
        <v>2029</v>
      </c>
      <c r="X106" s="280">
        <f t="shared" si="51"/>
        <v>2030</v>
      </c>
    </row>
    <row r="107" spans="1:24" x14ac:dyDescent="0.2"/>
    <row r="108" spans="1:24" s="208" customFormat="1" ht="13.5" x14ac:dyDescent="0.25">
      <c r="A108" s="208" t="s">
        <v>134</v>
      </c>
    </row>
    <row r="109" spans="1:24" x14ac:dyDescent="0.2"/>
  </sheetData>
  <conditionalFormatting sqref="F98">
    <cfRule type="cellIs" dxfId="67" priority="16" stopIfTrue="1" operator="notEqual">
      <formula>0</formula>
    </cfRule>
    <cfRule type="cellIs" dxfId="66" priority="17" stopIfTrue="1" operator="equal">
      <formula>""</formula>
    </cfRule>
  </conditionalFormatting>
  <conditionalFormatting sqref="J3:CA3">
    <cfRule type="cellIs" dxfId="65" priority="1" operator="equal">
      <formula>"Post-Fcst"</formula>
    </cfRule>
    <cfRule type="cellIs" dxfId="64" priority="2" operator="equal">
      <formula>"Post-Fcst Mod"</formula>
    </cfRule>
    <cfRule type="cellIs" dxfId="63" priority="3" operator="equal">
      <formula>"Forecast"</formula>
    </cfRule>
    <cfRule type="cellIs" dxfId="62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C36C2-B02E-4C15-83D3-DE7547A9C805}">
  <sheetPr>
    <tabColor theme="5"/>
    <outlinePr summaryBelow="0" summaryRight="0"/>
    <pageSetUpPr fitToPage="1"/>
  </sheetPr>
  <dimension ref="A1:X24"/>
  <sheetViews>
    <sheetView showGridLines="0" zoomScale="80" zoomScaleNormal="80" workbookViewId="0">
      <pane xSplit="9" ySplit="5" topLeftCell="J6" activePane="bottomRight" state="frozen"/>
      <selection pane="topRight" activeCell="B4" sqref="B4"/>
      <selection pane="bottomLeft" activeCell="B4" sqref="B4"/>
      <selection pane="bottomRight" activeCell="D4" sqref="D4"/>
    </sheetView>
  </sheetViews>
  <sheetFormatPr defaultColWidth="8.625" defaultRowHeight="12.75" zeroHeight="1" x14ac:dyDescent="0.2"/>
  <cols>
    <col min="1" max="1" width="1.625" style="96" customWidth="1"/>
    <col min="2" max="2" width="1.625" style="139" customWidth="1"/>
    <col min="3" max="3" width="1.625" style="98" customWidth="1"/>
    <col min="4" max="4" width="1.625" style="88" customWidth="1"/>
    <col min="5" max="5" width="45.625" style="88" customWidth="1"/>
    <col min="6" max="7" width="15.625" style="88" customWidth="1"/>
    <col min="8" max="8" width="15.625" style="30" customWidth="1"/>
    <col min="9" max="9" width="2.625" style="30" customWidth="1"/>
    <col min="10" max="24" width="9.625" style="30" customWidth="1"/>
    <col min="25" max="16384" width="8.625" style="30"/>
  </cols>
  <sheetData>
    <row r="1" spans="1:24" s="103" customFormat="1" ht="44.25" x14ac:dyDescent="0.2">
      <c r="A1" s="132" t="str">
        <f ca="1" xml:space="preserve"> RIGHT(CELL("filename", $A$1), LEN(CELL("filename", $A$1)) - SEARCH("]", CELL("filename", $A$1)))</f>
        <v>Index</v>
      </c>
      <c r="B1" s="133"/>
      <c r="C1" s="134"/>
      <c r="D1" s="130"/>
      <c r="E1" s="130"/>
      <c r="F1" s="130"/>
      <c r="G1" s="130"/>
      <c r="H1" s="393" t="str">
        <f>InpActive!F9</f>
        <v>Anglian Water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4" customFormat="1" x14ac:dyDescent="0.2">
      <c r="A2" s="135"/>
      <c r="B2" s="136"/>
      <c r="C2" s="137"/>
      <c r="D2" s="138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19" customFormat="1" x14ac:dyDescent="0.2">
      <c r="A3" s="131"/>
      <c r="B3" s="136"/>
      <c r="C3" s="137"/>
      <c r="D3" s="138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8" customFormat="1" x14ac:dyDescent="0.2">
      <c r="A4" s="131"/>
      <c r="B4" s="136"/>
      <c r="C4" s="137"/>
      <c r="D4" s="138"/>
      <c r="E4" s="120" t="str">
        <f>Time!E$106</f>
        <v>Financial Year Ending</v>
      </c>
      <c r="F4" s="120"/>
      <c r="G4" s="120"/>
      <c r="H4" s="116"/>
      <c r="I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29" customFormat="1" x14ac:dyDescent="0.2">
      <c r="A5" s="131"/>
      <c r="B5" s="136"/>
      <c r="C5" s="137"/>
      <c r="D5" s="138"/>
      <c r="E5" s="120" t="str">
        <f>Time!E$10</f>
        <v>Model column counter</v>
      </c>
      <c r="F5" s="131" t="s">
        <v>532</v>
      </c>
      <c r="G5" s="131" t="s">
        <v>186</v>
      </c>
      <c r="H5" s="19" t="s">
        <v>533</v>
      </c>
      <c r="I5" s="24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172" customFormat="1" x14ac:dyDescent="0.2">
      <c r="B6" s="173"/>
      <c r="C6" s="174"/>
      <c r="D6" s="175"/>
      <c r="E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</row>
    <row r="7" spans="1:24" s="209" customFormat="1" ht="13.5" x14ac:dyDescent="0.25">
      <c r="A7" s="209" t="s">
        <v>677</v>
      </c>
    </row>
    <row r="8" spans="1:24" s="154" customFormat="1" ht="14.25" x14ac:dyDescent="0.2">
      <c r="A8" s="155"/>
      <c r="B8" s="156"/>
      <c r="C8" s="185"/>
      <c r="D8" s="186"/>
      <c r="H8" s="190"/>
    </row>
    <row r="9" spans="1:24" s="154" customFormat="1" x14ac:dyDescent="0.2">
      <c r="A9" s="155"/>
      <c r="B9" s="156"/>
      <c r="C9" s="156"/>
      <c r="D9" s="155"/>
      <c r="E9" s="291" t="str">
        <f>Time!E$10</f>
        <v>Model column counter</v>
      </c>
      <c r="G9" s="291" t="str">
        <f>Time!G$10</f>
        <v>counter</v>
      </c>
      <c r="J9" s="292">
        <f>Time!J$10</f>
        <v>1</v>
      </c>
      <c r="K9" s="292">
        <f>Time!K$10</f>
        <v>2</v>
      </c>
      <c r="L9" s="292">
        <f>Time!L$10</f>
        <v>3</v>
      </c>
      <c r="M9" s="292">
        <f>Time!M$10</f>
        <v>4</v>
      </c>
      <c r="N9" s="292">
        <f>Time!N$10</f>
        <v>5</v>
      </c>
      <c r="O9" s="292">
        <f>Time!O$10</f>
        <v>6</v>
      </c>
      <c r="P9" s="292">
        <f>Time!P$10</f>
        <v>7</v>
      </c>
      <c r="Q9" s="292">
        <f>Time!Q$10</f>
        <v>8</v>
      </c>
      <c r="R9" s="292">
        <f>Time!R$10</f>
        <v>9</v>
      </c>
      <c r="S9" s="292">
        <f>Time!S$10</f>
        <v>10</v>
      </c>
      <c r="T9" s="292">
        <f>Time!T$10</f>
        <v>11</v>
      </c>
      <c r="U9" s="292">
        <f>Time!U$10</f>
        <v>12</v>
      </c>
      <c r="V9" s="292">
        <f>Time!V$10</f>
        <v>13</v>
      </c>
      <c r="W9" s="292">
        <f>Time!W$10</f>
        <v>14</v>
      </c>
      <c r="X9" s="292">
        <f>Time!X$10</f>
        <v>15</v>
      </c>
    </row>
    <row r="10" spans="1:24" x14ac:dyDescent="0.2">
      <c r="A10" s="20"/>
      <c r="B10" s="21"/>
      <c r="C10" s="22"/>
      <c r="D10" s="23"/>
      <c r="E10" s="293" t="s">
        <v>678</v>
      </c>
      <c r="F10" s="30"/>
      <c r="G10" s="294" t="s">
        <v>644</v>
      </c>
      <c r="J10" s="294">
        <f>IF(J9&gt;2,1,0)</f>
        <v>0</v>
      </c>
      <c r="K10" s="294">
        <f t="shared" ref="K10:T10" si="0">IF(K9&gt;2,1,0)</f>
        <v>0</v>
      </c>
      <c r="L10" s="294">
        <f t="shared" si="0"/>
        <v>1</v>
      </c>
      <c r="M10" s="294">
        <f t="shared" si="0"/>
        <v>1</v>
      </c>
      <c r="N10" s="294">
        <f t="shared" si="0"/>
        <v>1</v>
      </c>
      <c r="O10" s="294">
        <f t="shared" si="0"/>
        <v>1</v>
      </c>
      <c r="P10" s="294">
        <f t="shared" si="0"/>
        <v>1</v>
      </c>
      <c r="Q10" s="294">
        <f t="shared" si="0"/>
        <v>1</v>
      </c>
      <c r="R10" s="294">
        <f t="shared" si="0"/>
        <v>1</v>
      </c>
      <c r="S10" s="294">
        <f t="shared" si="0"/>
        <v>1</v>
      </c>
      <c r="T10" s="294">
        <f t="shared" si="0"/>
        <v>1</v>
      </c>
      <c r="U10" s="294">
        <f t="shared" ref="U10:V10" si="1">IF(U9&gt;2,1,0)</f>
        <v>1</v>
      </c>
      <c r="V10" s="294">
        <f t="shared" si="1"/>
        <v>1</v>
      </c>
      <c r="W10" s="294">
        <f t="shared" ref="W10:X10" si="2">IF(W9&gt;2,1,0)</f>
        <v>1</v>
      </c>
      <c r="X10" s="294">
        <f t="shared" si="2"/>
        <v>1</v>
      </c>
    </row>
    <row r="11" spans="1:24" s="160" customFormat="1" x14ac:dyDescent="0.2">
      <c r="A11" s="158"/>
      <c r="B11" s="156"/>
      <c r="C11" s="185"/>
      <c r="D11" s="186"/>
      <c r="E11" s="295" t="str">
        <f>InpActive!E92</f>
        <v>November CPIH Index</v>
      </c>
      <c r="G11" s="295" t="str">
        <f>InpActive!G92</f>
        <v>Index</v>
      </c>
      <c r="J11" s="295">
        <f>InpActive!J92</f>
        <v>100.3</v>
      </c>
      <c r="K11" s="295">
        <f>InpActive!K92</f>
        <v>101.8</v>
      </c>
      <c r="L11" s="295">
        <f>InpActive!L92</f>
        <v>0</v>
      </c>
      <c r="M11" s="295">
        <f>InpActive!M92</f>
        <v>0</v>
      </c>
      <c r="N11" s="295">
        <f>InpActive!N92</f>
        <v>0</v>
      </c>
      <c r="O11" s="295">
        <f>InpActive!O92</f>
        <v>0</v>
      </c>
      <c r="P11" s="295">
        <f>InpActive!P92</f>
        <v>0</v>
      </c>
      <c r="Q11" s="295">
        <f>InpActive!Q92</f>
        <v>0</v>
      </c>
      <c r="R11" s="295">
        <f>InpActive!R92</f>
        <v>0</v>
      </c>
      <c r="S11" s="295">
        <f>InpActive!S92</f>
        <v>0</v>
      </c>
      <c r="T11" s="295">
        <f>InpActive!T92</f>
        <v>0</v>
      </c>
      <c r="U11" s="295">
        <f>InpActive!U92</f>
        <v>0</v>
      </c>
      <c r="V11" s="295">
        <f>InpActive!V92</f>
        <v>0</v>
      </c>
      <c r="W11" s="295">
        <f>InpActive!W92</f>
        <v>0</v>
      </c>
      <c r="X11" s="295">
        <f>InpActive!X92</f>
        <v>0</v>
      </c>
    </row>
    <row r="12" spans="1:24" s="319" customFormat="1" x14ac:dyDescent="0.2">
      <c r="A12" s="341"/>
      <c r="B12" s="342"/>
      <c r="C12" s="297"/>
      <c r="D12" s="259"/>
      <c r="E12" s="296" t="s">
        <v>679</v>
      </c>
      <c r="F12" s="296"/>
      <c r="G12" s="296" t="s">
        <v>583</v>
      </c>
      <c r="H12" s="296"/>
      <c r="I12" s="296"/>
      <c r="J12" s="296">
        <f>IF(AND(I11&lt;&gt;0,J10),(I11/H11-1),0)</f>
        <v>0</v>
      </c>
      <c r="K12" s="296">
        <f t="shared" ref="K12:X12" si="3">IF(AND(J11&lt;&gt;0,K10),(J11/I11-1),0)</f>
        <v>0</v>
      </c>
      <c r="L12" s="296">
        <f t="shared" si="3"/>
        <v>1.4955134596211339E-2</v>
      </c>
      <c r="M12" s="296">
        <f t="shared" si="3"/>
        <v>0</v>
      </c>
      <c r="N12" s="296">
        <f t="shared" si="3"/>
        <v>0</v>
      </c>
      <c r="O12" s="296">
        <f t="shared" si="3"/>
        <v>0</v>
      </c>
      <c r="P12" s="296">
        <f>IF(AND(O11&lt;&gt;0,P10),(O11/N11-1),0)</f>
        <v>0</v>
      </c>
      <c r="Q12" s="296">
        <f t="shared" si="3"/>
        <v>0</v>
      </c>
      <c r="R12" s="296">
        <f t="shared" si="3"/>
        <v>0</v>
      </c>
      <c r="S12" s="296">
        <f t="shared" si="3"/>
        <v>0</v>
      </c>
      <c r="T12" s="296">
        <f t="shared" si="3"/>
        <v>0</v>
      </c>
      <c r="U12" s="296">
        <f t="shared" si="3"/>
        <v>0</v>
      </c>
      <c r="V12" s="296">
        <f t="shared" si="3"/>
        <v>0</v>
      </c>
      <c r="W12" s="296">
        <f t="shared" si="3"/>
        <v>0</v>
      </c>
      <c r="X12" s="296">
        <f t="shared" si="3"/>
        <v>0</v>
      </c>
    </row>
    <row r="13" spans="1:24" s="154" customFormat="1" x14ac:dyDescent="0.2">
      <c r="A13" s="155"/>
      <c r="B13" s="156"/>
      <c r="C13" s="185"/>
      <c r="D13" s="186"/>
      <c r="E13" s="291"/>
      <c r="G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</row>
    <row r="14" spans="1:24" s="154" customFormat="1" x14ac:dyDescent="0.2">
      <c r="A14" s="155"/>
      <c r="B14" s="156"/>
      <c r="C14" s="185"/>
      <c r="D14" s="186"/>
      <c r="E14" s="291" t="str">
        <f>E10</f>
        <v>Column greater than 2?</v>
      </c>
      <c r="F14" s="291">
        <f t="shared" ref="F14:T14" si="4">F10</f>
        <v>0</v>
      </c>
      <c r="G14" s="291" t="str">
        <f t="shared" si="4"/>
        <v>flag</v>
      </c>
      <c r="H14" s="291">
        <f t="shared" si="4"/>
        <v>0</v>
      </c>
      <c r="I14" s="291">
        <f t="shared" si="4"/>
        <v>0</v>
      </c>
      <c r="J14" s="292">
        <f t="shared" si="4"/>
        <v>0</v>
      </c>
      <c r="K14" s="292">
        <f t="shared" si="4"/>
        <v>0</v>
      </c>
      <c r="L14" s="292">
        <f t="shared" si="4"/>
        <v>1</v>
      </c>
      <c r="M14" s="292">
        <f t="shared" si="4"/>
        <v>1</v>
      </c>
      <c r="N14" s="292">
        <f t="shared" si="4"/>
        <v>1</v>
      </c>
      <c r="O14" s="292">
        <f t="shared" si="4"/>
        <v>1</v>
      </c>
      <c r="P14" s="292">
        <f t="shared" si="4"/>
        <v>1</v>
      </c>
      <c r="Q14" s="292">
        <f t="shared" si="4"/>
        <v>1</v>
      </c>
      <c r="R14" s="292">
        <f t="shared" si="4"/>
        <v>1</v>
      </c>
      <c r="S14" s="292">
        <f t="shared" si="4"/>
        <v>1</v>
      </c>
      <c r="T14" s="292">
        <f t="shared" si="4"/>
        <v>1</v>
      </c>
      <c r="U14" s="292">
        <f t="shared" ref="U14:V14" si="5">U10</f>
        <v>1</v>
      </c>
      <c r="V14" s="292">
        <f t="shared" si="5"/>
        <v>1</v>
      </c>
      <c r="W14" s="292">
        <f t="shared" ref="W14:X14" si="6">W10</f>
        <v>1</v>
      </c>
      <c r="X14" s="292">
        <f t="shared" si="6"/>
        <v>1</v>
      </c>
    </row>
    <row r="15" spans="1:24" s="160" customFormat="1" x14ac:dyDescent="0.2">
      <c r="A15" s="158"/>
      <c r="B15" s="156"/>
      <c r="C15" s="297"/>
      <c r="D15" s="186"/>
      <c r="E15" s="295" t="str">
        <f>InpActive!E92</f>
        <v>November CPIH Index</v>
      </c>
      <c r="G15" s="295" t="str">
        <f>InpActive!G92</f>
        <v>Index</v>
      </c>
      <c r="J15" s="295">
        <f>InpActive!J92</f>
        <v>100.3</v>
      </c>
      <c r="K15" s="295">
        <f>InpActive!K92</f>
        <v>101.8</v>
      </c>
      <c r="L15" s="295">
        <f>InpActive!L92</f>
        <v>0</v>
      </c>
      <c r="M15" s="295">
        <f>InpActive!M92</f>
        <v>0</v>
      </c>
      <c r="N15" s="295">
        <f>InpActive!N92</f>
        <v>0</v>
      </c>
      <c r="O15" s="295">
        <f>InpActive!O92</f>
        <v>0</v>
      </c>
      <c r="P15" s="295">
        <f>InpActive!P92</f>
        <v>0</v>
      </c>
      <c r="Q15" s="295">
        <f>InpActive!Q92</f>
        <v>0</v>
      </c>
      <c r="R15" s="295">
        <f>InpActive!R92</f>
        <v>0</v>
      </c>
      <c r="S15" s="295">
        <f>InpActive!S92</f>
        <v>0</v>
      </c>
      <c r="T15" s="295">
        <f>InpActive!T92</f>
        <v>0</v>
      </c>
      <c r="U15" s="295">
        <f>InpActive!U92</f>
        <v>0</v>
      </c>
      <c r="V15" s="295">
        <f>InpActive!V92</f>
        <v>0</v>
      </c>
      <c r="W15" s="295">
        <f>InpActive!W92</f>
        <v>0</v>
      </c>
      <c r="X15" s="295">
        <f>InpActive!X92</f>
        <v>0</v>
      </c>
    </row>
    <row r="16" spans="1:24" s="319" customFormat="1" x14ac:dyDescent="0.2">
      <c r="A16" s="341"/>
      <c r="B16" s="342"/>
      <c r="C16" s="297"/>
      <c r="D16" s="259"/>
      <c r="E16" s="296" t="s">
        <v>680</v>
      </c>
      <c r="F16" s="296"/>
      <c r="G16" s="296" t="s">
        <v>583</v>
      </c>
      <c r="H16" s="296"/>
      <c r="I16" s="296"/>
      <c r="J16" s="296">
        <f t="shared" ref="J16:K16" si="7">IF(AND(I15&lt;&gt;0,J14),I15/$K15,I16)</f>
        <v>0</v>
      </c>
      <c r="K16" s="296">
        <f t="shared" si="7"/>
        <v>0</v>
      </c>
      <c r="L16" s="296">
        <f>IF(AND(K15&lt;&gt;0,L14),K15/$K15,K16)</f>
        <v>1</v>
      </c>
      <c r="M16" s="296">
        <f t="shared" ref="M16:X16" si="8">IF(AND(L15&lt;&gt;0,M14),L15/$K15,L16)</f>
        <v>1</v>
      </c>
      <c r="N16" s="296">
        <f t="shared" si="8"/>
        <v>1</v>
      </c>
      <c r="O16" s="296">
        <f t="shared" si="8"/>
        <v>1</v>
      </c>
      <c r="P16" s="296">
        <f>IF(AND(O15&lt;&gt;0,P14),O15/$K15,O16)</f>
        <v>1</v>
      </c>
      <c r="Q16" s="296">
        <f t="shared" si="8"/>
        <v>1</v>
      </c>
      <c r="R16" s="296">
        <f t="shared" si="8"/>
        <v>1</v>
      </c>
      <c r="S16" s="296">
        <f t="shared" si="8"/>
        <v>1</v>
      </c>
      <c r="T16" s="296">
        <f t="shared" si="8"/>
        <v>1</v>
      </c>
      <c r="U16" s="296">
        <f t="shared" si="8"/>
        <v>1</v>
      </c>
      <c r="V16" s="296">
        <f t="shared" si="8"/>
        <v>1</v>
      </c>
      <c r="W16" s="296">
        <f t="shared" si="8"/>
        <v>1</v>
      </c>
      <c r="X16" s="296">
        <f t="shared" si="8"/>
        <v>1</v>
      </c>
    </row>
    <row r="17" spans="1:24" s="319" customFormat="1" x14ac:dyDescent="0.2">
      <c r="A17" s="341"/>
      <c r="B17" s="342"/>
      <c r="C17" s="297"/>
      <c r="D17" s="259"/>
      <c r="E17" s="296"/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296"/>
    </row>
    <row r="18" spans="1:24" s="319" customFormat="1" x14ac:dyDescent="0.2">
      <c r="A18" s="341"/>
      <c r="B18" s="342"/>
      <c r="C18" s="297"/>
      <c r="D18" s="259"/>
      <c r="E18" s="151" t="str">
        <f>InpActive!E109</f>
        <v>CPIH 2022-23 financial year average</v>
      </c>
      <c r="F18" s="435">
        <f>InpActive!F109</f>
        <v>123.04166666666664</v>
      </c>
      <c r="G18" s="151" t="str">
        <f>InpActive!G109</f>
        <v>Index</v>
      </c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</row>
    <row r="19" spans="1:24" s="319" customFormat="1" x14ac:dyDescent="0.2">
      <c r="A19" s="341"/>
      <c r="B19" s="342"/>
      <c r="C19" s="297"/>
      <c r="D19" s="259"/>
      <c r="E19" s="298" t="str">
        <f>InpActive!E107</f>
        <v>CPIH 2017-18 financial year average</v>
      </c>
      <c r="F19" s="435">
        <f>InpActive!F107</f>
        <v>104.21666666666665</v>
      </c>
      <c r="G19" s="298" t="str">
        <f>InpActive!G107</f>
        <v>Index</v>
      </c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</row>
    <row r="20" spans="1:24" s="319" customFormat="1" x14ac:dyDescent="0.2">
      <c r="A20" s="341"/>
      <c r="B20" s="342"/>
      <c r="C20" s="297"/>
      <c r="D20" s="259"/>
      <c r="E20" s="296" t="s">
        <v>681</v>
      </c>
      <c r="F20" s="420">
        <f>F18/F19</f>
        <v>1.1806332960179113</v>
      </c>
      <c r="G20" s="296" t="s">
        <v>682</v>
      </c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</row>
    <row r="21" spans="1:24" s="319" customFormat="1" x14ac:dyDescent="0.2">
      <c r="A21" s="341"/>
      <c r="B21" s="342"/>
      <c r="C21" s="297"/>
      <c r="D21" s="259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</row>
    <row r="22" spans="1:24" s="319" customFormat="1" x14ac:dyDescent="0.2">
      <c r="B22" s="343"/>
      <c r="C22" s="343"/>
      <c r="E22" s="296"/>
      <c r="F22" s="344"/>
      <c r="G22" s="296"/>
      <c r="H22" s="296"/>
      <c r="I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</row>
    <row r="23" spans="1:24" s="154" customFormat="1" x14ac:dyDescent="0.2">
      <c r="B23" s="221"/>
      <c r="C23" s="221"/>
    </row>
    <row r="24" spans="1:24" s="208" customFormat="1" ht="13.5" x14ac:dyDescent="0.25">
      <c r="A24" s="208" t="s">
        <v>134</v>
      </c>
    </row>
  </sheetData>
  <conditionalFormatting sqref="J3:X3">
    <cfRule type="cellIs" dxfId="61" priority="1" operator="equal">
      <formula>"Post-Fcst"</formula>
    </cfRule>
    <cfRule type="cellIs" dxfId="60" priority="2" operator="equal">
      <formula>"Post-Fcst Mod"</formula>
    </cfRule>
    <cfRule type="cellIs" dxfId="59" priority="3" operator="equal">
      <formula>"Forecast"</formula>
    </cfRule>
    <cfRule type="cellIs" dxfId="58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A408-58C2-4D6F-B0E7-847996024F27}">
  <sheetPr>
    <tabColor theme="5"/>
    <pageSetUpPr fitToPage="1"/>
  </sheetPr>
  <dimension ref="A1:V182"/>
  <sheetViews>
    <sheetView showGridLines="0" zoomScale="80" zoomScaleNormal="80" workbookViewId="0">
      <pane ySplit="2" topLeftCell="A3" activePane="bottomLeft" state="frozen"/>
      <selection activeCell="B4" sqref="B4"/>
      <selection pane="bottomLeft"/>
    </sheetView>
  </sheetViews>
  <sheetFormatPr defaultColWidth="0" defaultRowHeight="12.75" zeroHeight="1" x14ac:dyDescent="0.2"/>
  <cols>
    <col min="1" max="4" width="1.625" style="109" customWidth="1"/>
    <col min="5" max="5" width="83.125" style="109" bestFit="1" customWidth="1"/>
    <col min="6" max="6" width="15.625" style="109" customWidth="1"/>
    <col min="7" max="7" width="30.625" style="109" customWidth="1"/>
    <col min="8" max="8" width="15.625" style="243" customWidth="1"/>
    <col min="9" max="9" width="2.625" style="3" customWidth="1"/>
    <col min="10" max="19" width="0" style="3" hidden="1" customWidth="1"/>
    <col min="20" max="22" width="9.625" style="3" customWidth="1"/>
    <col min="23" max="16384" width="9.625" style="3" hidden="1"/>
  </cols>
  <sheetData>
    <row r="1" spans="1:22" s="121" customFormat="1" ht="29.25" x14ac:dyDescent="0.2">
      <c r="A1" s="121" t="str">
        <f ca="1" xml:space="preserve"> RIGHT(CELL("filename", $A$1), LEN(CELL("filename", $A$1)) - SEARCH("]", CELL("filename", $A$1)))</f>
        <v>Abatements and deferrals</v>
      </c>
      <c r="H1" s="394" t="str">
        <f>InpActive!F9</f>
        <v>Anglian Water</v>
      </c>
    </row>
    <row r="2" spans="1:22" s="76" customFormat="1" x14ac:dyDescent="0.2">
      <c r="A2" s="122"/>
      <c r="B2" s="122"/>
      <c r="C2" s="122"/>
      <c r="D2" s="122"/>
      <c r="E2" s="122"/>
      <c r="F2" s="149" t="s">
        <v>532</v>
      </c>
      <c r="G2" s="149" t="s">
        <v>186</v>
      </c>
      <c r="H2" s="279" t="s">
        <v>533</v>
      </c>
    </row>
    <row r="3" spans="1:22" s="76" customFormat="1" x14ac:dyDescent="0.2">
      <c r="A3" s="122"/>
      <c r="B3" s="122"/>
      <c r="C3" s="122"/>
      <c r="D3" s="122"/>
      <c r="E3" s="122"/>
      <c r="F3" s="149"/>
      <c r="G3" s="149"/>
      <c r="H3" s="279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s="209" customFormat="1" ht="13.5" x14ac:dyDescent="0.25">
      <c r="A4" s="209" t="s">
        <v>683</v>
      </c>
    </row>
    <row r="5" spans="1:22" s="80" customFormat="1" x14ac:dyDescent="0.2">
      <c r="A5" s="77"/>
      <c r="B5" s="123"/>
      <c r="C5" s="123"/>
      <c r="D5" s="124"/>
      <c r="E5" s="78"/>
      <c r="F5" s="79"/>
      <c r="G5" s="78"/>
      <c r="H5" s="240"/>
      <c r="I5" s="81"/>
    </row>
    <row r="6" spans="1:22" s="80" customFormat="1" x14ac:dyDescent="0.2">
      <c r="A6" s="77"/>
      <c r="B6" s="78"/>
      <c r="C6" s="299" t="s">
        <v>684</v>
      </c>
      <c r="D6" s="124"/>
      <c r="E6" s="78"/>
      <c r="F6" s="79"/>
      <c r="G6" s="78"/>
      <c r="H6" s="240"/>
      <c r="I6" s="81"/>
    </row>
    <row r="7" spans="1:22" s="80" customFormat="1" x14ac:dyDescent="0.2">
      <c r="A7" s="77"/>
      <c r="B7" s="123"/>
      <c r="C7" s="123"/>
      <c r="D7" s="124"/>
      <c r="E7" s="78"/>
      <c r="F7" s="79"/>
      <c r="G7" s="78"/>
      <c r="H7" s="240"/>
      <c r="I7" s="81"/>
    </row>
    <row r="8" spans="1:22" s="1" customFormat="1" x14ac:dyDescent="0.2">
      <c r="A8" s="125"/>
      <c r="B8" s="125"/>
      <c r="C8" s="125"/>
      <c r="D8" s="300" t="str">
        <f>InpActive!D21</f>
        <v>Net ODI payments (by price control)</v>
      </c>
      <c r="E8" s="125"/>
      <c r="F8" s="241"/>
      <c r="G8" s="125"/>
    </row>
    <row r="9" spans="1:22" s="1" customFormat="1" x14ac:dyDescent="0.2">
      <c r="A9" s="125"/>
      <c r="B9" s="125"/>
      <c r="C9" s="125"/>
      <c r="D9" s="125"/>
      <c r="E9" s="301" t="str">
        <f>InpActive!E22</f>
        <v>In-period and end of period revenue BYR ODI adjustments - Water resources</v>
      </c>
      <c r="F9" s="302">
        <f>InpActive!F22</f>
        <v>-8.7999999999999995E-2</v>
      </c>
      <c r="G9" s="301" t="str">
        <f>InpActive!G22</f>
        <v>£m (2017-18 FYA CPIH prices)</v>
      </c>
      <c r="H9" s="303"/>
    </row>
    <row r="10" spans="1:22" s="1" customFormat="1" x14ac:dyDescent="0.2">
      <c r="A10" s="125"/>
      <c r="B10" s="125"/>
      <c r="C10" s="125"/>
      <c r="D10" s="125"/>
      <c r="E10" s="301" t="str">
        <f>InpActive!E23</f>
        <v>In-period and end of period revenue BYR ODI adjustments - Water network plus</v>
      </c>
      <c r="F10" s="302">
        <f>InpActive!F23</f>
        <v>-20.282</v>
      </c>
      <c r="G10" s="301" t="str">
        <f>InpActive!G23</f>
        <v>£m (2017-18 FYA CPIH prices)</v>
      </c>
      <c r="H10" s="303"/>
    </row>
    <row r="11" spans="1:22" s="1" customFormat="1" x14ac:dyDescent="0.2">
      <c r="A11" s="125"/>
      <c r="B11" s="125"/>
      <c r="C11" s="125"/>
      <c r="D11" s="125"/>
      <c r="E11" s="301" t="str">
        <f>InpActive!E24</f>
        <v>In-period and end of period revenue BYR ODI adjustments - Wastewater network plus</v>
      </c>
      <c r="F11" s="302">
        <f>InpActive!F24</f>
        <v>-16.908000000000001</v>
      </c>
      <c r="G11" s="301" t="str">
        <f>InpActive!G24</f>
        <v>£m (2017-18 FYA CPIH prices)</v>
      </c>
      <c r="H11" s="303"/>
    </row>
    <row r="12" spans="1:22" s="1" customFormat="1" x14ac:dyDescent="0.2">
      <c r="A12" s="125"/>
      <c r="B12" s="125"/>
      <c r="C12" s="125"/>
      <c r="D12" s="125"/>
      <c r="E12" s="301" t="str">
        <f>InpActive!E25</f>
        <v>In-period and end of period revenue BYR ODI adjustments - Bioresources (sludge)</v>
      </c>
      <c r="F12" s="302">
        <f>InpActive!F25</f>
        <v>0</v>
      </c>
      <c r="G12" s="301" t="str">
        <f>InpActive!G25</f>
        <v>£m (2017-18 FYA CPIH prices)</v>
      </c>
      <c r="H12" s="303"/>
    </row>
    <row r="13" spans="1:22" s="1" customFormat="1" x14ac:dyDescent="0.2">
      <c r="A13" s="125"/>
      <c r="B13" s="125"/>
      <c r="C13" s="125"/>
      <c r="D13" s="125"/>
      <c r="E13" s="301" t="str">
        <f>InpActive!E26</f>
        <v>In-period and end of period revenue BYR ODI adjustments - Residential retail</v>
      </c>
      <c r="F13" s="302">
        <f>InpActive!F26</f>
        <v>0.89600000000000002</v>
      </c>
      <c r="G13" s="301" t="str">
        <f>InpActive!G26</f>
        <v>£m (2017-18 FYA CPIH prices)</v>
      </c>
      <c r="H13" s="303"/>
    </row>
    <row r="14" spans="1:22" s="1" customFormat="1" x14ac:dyDescent="0.2">
      <c r="A14" s="125"/>
      <c r="B14" s="125"/>
      <c r="C14" s="125"/>
      <c r="D14" s="125"/>
      <c r="E14" s="301" t="str">
        <f>InpActive!E27</f>
        <v>In-period and end of period revenue BYR ODI adjustments - Business retail</v>
      </c>
      <c r="F14" s="302">
        <f>InpActive!F27</f>
        <v>0</v>
      </c>
      <c r="G14" s="301" t="str">
        <f>InpActive!G27</f>
        <v>£m (2017-18 FYA CPIH prices)</v>
      </c>
      <c r="H14" s="303"/>
    </row>
    <row r="15" spans="1:22" s="1" customFormat="1" x14ac:dyDescent="0.2">
      <c r="A15" s="125"/>
      <c r="B15" s="125"/>
      <c r="C15" s="125"/>
      <c r="D15" s="125"/>
      <c r="E15" s="301" t="str">
        <f>InpActive!E28</f>
        <v>In-period and end of period revenue BYR ODI adjustments - Additional control 1</v>
      </c>
      <c r="F15" s="302">
        <f>InpActive!F28</f>
        <v>0</v>
      </c>
      <c r="G15" s="301" t="str">
        <f>InpActive!G28</f>
        <v>£m (2017-18 FYA CPIH prices)</v>
      </c>
      <c r="H15" s="303"/>
    </row>
    <row r="16" spans="1:22" s="1" customFormat="1" x14ac:dyDescent="0.2">
      <c r="A16" s="125"/>
      <c r="B16" s="125"/>
      <c r="C16" s="125"/>
      <c r="D16" s="125"/>
      <c r="E16" s="301" t="str">
        <f>InpActive!E29</f>
        <v>In-period and end of period revenue BYR ODI adjustments - Additional control 2</v>
      </c>
      <c r="F16" s="302">
        <f>InpActive!F29</f>
        <v>0</v>
      </c>
      <c r="G16" s="301" t="str">
        <f>InpActive!G29</f>
        <v>£m (2017-18 FYA CPIH prices)</v>
      </c>
      <c r="H16" s="303"/>
    </row>
    <row r="17" spans="1:8" s="1" customFormat="1" x14ac:dyDescent="0.2">
      <c r="A17" s="125"/>
      <c r="B17" s="125"/>
      <c r="C17" s="125"/>
      <c r="D17" s="125"/>
      <c r="E17" s="83"/>
      <c r="F17" s="242"/>
      <c r="G17" s="83"/>
    </row>
    <row r="18" spans="1:8" s="1" customFormat="1" x14ac:dyDescent="0.2">
      <c r="A18" s="125"/>
      <c r="B18" s="125"/>
      <c r="C18" s="125"/>
      <c r="D18" s="300" t="str">
        <f>InpActive!D31</f>
        <v>Other in-period payments</v>
      </c>
      <c r="E18" s="125"/>
      <c r="F18" s="241"/>
      <c r="G18" s="125"/>
    </row>
    <row r="19" spans="1:8" s="1" customFormat="1" x14ac:dyDescent="0.2">
      <c r="A19" s="125"/>
      <c r="B19" s="125"/>
      <c r="C19" s="125"/>
      <c r="D19" s="125"/>
      <c r="E19" s="301" t="str">
        <f>InpActive!E32</f>
        <v>Other in-period payments - C-MeX (residential retail)</v>
      </c>
      <c r="F19" s="302">
        <f>InpActive!F32</f>
        <v>2.1949999999999998</v>
      </c>
      <c r="G19" s="301" t="str">
        <f>InpActive!G32</f>
        <v>£m (2017-18 FYA CPIH prices)</v>
      </c>
      <c r="H19" s="303"/>
    </row>
    <row r="20" spans="1:8" s="1" customFormat="1" x14ac:dyDescent="0.2">
      <c r="A20" s="125"/>
      <c r="B20" s="125"/>
      <c r="C20" s="125"/>
      <c r="D20" s="125"/>
      <c r="E20" s="301" t="str">
        <f>InpActive!E33</f>
        <v>Other in-period payments - D-MeX (water network plus)</v>
      </c>
      <c r="F20" s="302">
        <f>InpActive!F33</f>
        <v>2.7355185817744362E-2</v>
      </c>
      <c r="G20" s="301" t="str">
        <f>InpActive!G33</f>
        <v>£m (2017-18 FYA CPIH prices)</v>
      </c>
      <c r="H20" s="303"/>
    </row>
    <row r="21" spans="1:8" s="1" customFormat="1" x14ac:dyDescent="0.2">
      <c r="A21" s="125"/>
      <c r="B21" s="125"/>
      <c r="C21" s="125"/>
      <c r="D21" s="125"/>
      <c r="E21" s="301" t="str">
        <f>InpActive!E34</f>
        <v>Other in-period payments - D-MeX (additional control 2)</v>
      </c>
      <c r="F21" s="302">
        <f>InpActive!F34</f>
        <v>0</v>
      </c>
      <c r="G21" s="301" t="str">
        <f>InpActive!G34</f>
        <v>£m (2017-18 FYA CPIH prices)</v>
      </c>
      <c r="H21" s="303"/>
    </row>
    <row r="22" spans="1:8" s="1" customFormat="1" x14ac:dyDescent="0.2">
      <c r="A22" s="125"/>
      <c r="B22" s="125"/>
      <c r="C22" s="125"/>
      <c r="D22" s="125"/>
      <c r="E22" s="301" t="str">
        <f>InpActive!E35</f>
        <v>Other in-period payments - D-MeX (wastewater network plus)</v>
      </c>
      <c r="F22" s="302">
        <f>InpActive!F35</f>
        <v>1.5789240504172835E-2</v>
      </c>
      <c r="G22" s="301" t="str">
        <f>InpActive!G35</f>
        <v>£m (2017-18 FYA CPIH prices)</v>
      </c>
      <c r="H22" s="303"/>
    </row>
    <row r="23" spans="1:8" s="1" customFormat="1" x14ac:dyDescent="0.2">
      <c r="A23" s="125"/>
      <c r="B23" s="125"/>
      <c r="C23" s="125"/>
      <c r="D23" s="125"/>
      <c r="E23" s="125"/>
      <c r="F23" s="241"/>
      <c r="G23" s="125"/>
    </row>
    <row r="24" spans="1:8" s="1" customFormat="1" x14ac:dyDescent="0.2">
      <c r="A24" s="125"/>
      <c r="B24" s="125"/>
      <c r="C24" s="125"/>
      <c r="D24" s="300" t="str">
        <f>InpActive!D37</f>
        <v>ODI payments deferred from previous reconciliation year</v>
      </c>
      <c r="E24" s="125"/>
      <c r="F24" s="241"/>
      <c r="G24" s="125"/>
    </row>
    <row r="25" spans="1:8" s="82" customFormat="1" x14ac:dyDescent="0.2">
      <c r="A25" s="128"/>
      <c r="B25" s="128"/>
      <c r="C25" s="128"/>
      <c r="D25" s="128"/>
      <c r="E25" s="301" t="str">
        <f>InpActive!E38</f>
        <v>ODI payments deferred from previous reconciliation year - water resources</v>
      </c>
      <c r="F25" s="302">
        <f>InpActive!F38</f>
        <v>0</v>
      </c>
      <c r="G25" s="301" t="str">
        <f>InpActive!G38</f>
        <v>£m (2017-18 FYA CPIH prices)</v>
      </c>
      <c r="H25" s="304"/>
    </row>
    <row r="26" spans="1:8" s="82" customFormat="1" x14ac:dyDescent="0.2">
      <c r="A26" s="128"/>
      <c r="B26" s="128"/>
      <c r="C26" s="128"/>
      <c r="D26" s="128"/>
      <c r="E26" s="301" t="str">
        <f>InpActive!E39</f>
        <v>ODI payments deferred from previous reconciliation year - water network plus</v>
      </c>
      <c r="F26" s="302">
        <f>InpActive!F39</f>
        <v>0</v>
      </c>
      <c r="G26" s="301" t="str">
        <f>InpActive!G39</f>
        <v>£m (2017-18 FYA CPIH prices)</v>
      </c>
      <c r="H26" s="304"/>
    </row>
    <row r="27" spans="1:8" s="82" customFormat="1" x14ac:dyDescent="0.2">
      <c r="A27" s="128"/>
      <c r="B27" s="128"/>
      <c r="C27" s="128"/>
      <c r="D27" s="128"/>
      <c r="E27" s="301" t="str">
        <f>InpActive!E40</f>
        <v>ODI payments deferred from previous reconciliation year - wastewater network plus</v>
      </c>
      <c r="F27" s="302">
        <f>InpActive!F40</f>
        <v>0</v>
      </c>
      <c r="G27" s="301" t="str">
        <f>InpActive!G40</f>
        <v>£m (2017-18 FYA CPIH prices)</v>
      </c>
      <c r="H27" s="304"/>
    </row>
    <row r="28" spans="1:8" s="82" customFormat="1" x14ac:dyDescent="0.2">
      <c r="A28" s="128"/>
      <c r="B28" s="128"/>
      <c r="C28" s="128"/>
      <c r="D28" s="128"/>
      <c r="E28" s="301" t="str">
        <f>InpActive!E41</f>
        <v>ODI payments deferred from previous reconciliation year - bioresources (sludge)</v>
      </c>
      <c r="F28" s="302">
        <f>InpActive!F41</f>
        <v>0</v>
      </c>
      <c r="G28" s="301" t="str">
        <f>InpActive!G41</f>
        <v>£m (2017-18 FYA CPIH prices)</v>
      </c>
      <c r="H28" s="304"/>
    </row>
    <row r="29" spans="1:8" s="82" customFormat="1" x14ac:dyDescent="0.2">
      <c r="A29" s="128"/>
      <c r="B29" s="128"/>
      <c r="C29" s="128"/>
      <c r="D29" s="128"/>
      <c r="E29" s="301" t="str">
        <f>InpActive!E42</f>
        <v>ODI payments deferred from previous reconciliation year - residential retail</v>
      </c>
      <c r="F29" s="302">
        <f>InpActive!F42</f>
        <v>0</v>
      </c>
      <c r="G29" s="301" t="str">
        <f>InpActive!G42</f>
        <v>£m (2017-18 FYA CPIH prices)</v>
      </c>
      <c r="H29" s="304"/>
    </row>
    <row r="30" spans="1:8" s="82" customFormat="1" x14ac:dyDescent="0.2">
      <c r="A30" s="128"/>
      <c r="B30" s="128"/>
      <c r="C30" s="128"/>
      <c r="D30" s="128"/>
      <c r="E30" s="301" t="str">
        <f>InpActive!E43</f>
        <v>ODI payments deferred from previous reconciliation year - business retail</v>
      </c>
      <c r="F30" s="302">
        <f>InpActive!F43</f>
        <v>0</v>
      </c>
      <c r="G30" s="301" t="str">
        <f>InpActive!G43</f>
        <v>£m (2017-18 FYA CPIH prices)</v>
      </c>
      <c r="H30" s="304"/>
    </row>
    <row r="31" spans="1:8" s="82" customFormat="1" x14ac:dyDescent="0.2">
      <c r="A31" s="128"/>
      <c r="B31" s="128"/>
      <c r="C31" s="128"/>
      <c r="D31" s="128"/>
      <c r="E31" s="301" t="str">
        <f>InpActive!E44</f>
        <v>ODI payments deferred from previous reconciliation year - additional control 1</v>
      </c>
      <c r="F31" s="302">
        <f>InpActive!F44</f>
        <v>0</v>
      </c>
      <c r="G31" s="301" t="str">
        <f>InpActive!G44</f>
        <v>£m (2017-18 FYA CPIH prices)</v>
      </c>
      <c r="H31" s="304"/>
    </row>
    <row r="32" spans="1:8" s="82" customFormat="1" x14ac:dyDescent="0.2">
      <c r="A32" s="128"/>
      <c r="B32" s="128"/>
      <c r="C32" s="128"/>
      <c r="D32" s="128"/>
      <c r="E32" s="301" t="str">
        <f>InpActive!E45</f>
        <v>ODI payments deferred from previous reconciliation year - additional control 2</v>
      </c>
      <c r="F32" s="302">
        <f>InpActive!F45</f>
        <v>0</v>
      </c>
      <c r="G32" s="301" t="str">
        <f>InpActive!G45</f>
        <v>£m (2017-18 FYA CPIH prices)</v>
      </c>
      <c r="H32" s="304"/>
    </row>
    <row r="33" spans="1:13" s="1" customFormat="1" x14ac:dyDescent="0.2">
      <c r="A33" s="125"/>
      <c r="B33" s="125"/>
      <c r="C33" s="125"/>
      <c r="D33" s="125"/>
      <c r="E33" s="125"/>
      <c r="F33" s="241"/>
      <c r="G33" s="125"/>
      <c r="M33" s="82"/>
    </row>
    <row r="34" spans="1:13" s="1" customFormat="1" x14ac:dyDescent="0.2">
      <c r="A34" s="125"/>
      <c r="B34" s="125"/>
      <c r="C34" s="125"/>
      <c r="D34" s="300" t="s">
        <v>685</v>
      </c>
      <c r="E34" s="125"/>
      <c r="F34" s="241"/>
      <c r="G34" s="125"/>
      <c r="M34" s="82"/>
    </row>
    <row r="35" spans="1:13" s="1" customFormat="1" x14ac:dyDescent="0.2">
      <c r="A35" s="125"/>
      <c r="B35" s="125"/>
      <c r="C35" s="125"/>
      <c r="D35" s="125"/>
      <c r="E35" s="305" t="s">
        <v>686</v>
      </c>
      <c r="F35" s="306">
        <f>F9+F25</f>
        <v>-8.7999999999999995E-2</v>
      </c>
      <c r="G35" s="305" t="str">
        <f>InpActive!$F$15</f>
        <v>£m (2017-18 FYA CPIH prices)</v>
      </c>
      <c r="H35" s="303"/>
      <c r="M35" s="82"/>
    </row>
    <row r="36" spans="1:13" s="1" customFormat="1" x14ac:dyDescent="0.2">
      <c r="A36" s="125"/>
      <c r="B36" s="125"/>
      <c r="C36" s="125"/>
      <c r="D36" s="125"/>
      <c r="E36" s="305" t="s">
        <v>687</v>
      </c>
      <c r="F36" s="306">
        <f>F10+F20+F26</f>
        <v>-20.254644814182257</v>
      </c>
      <c r="G36" s="305" t="str">
        <f>InpActive!$F$15</f>
        <v>£m (2017-18 FYA CPIH prices)</v>
      </c>
      <c r="H36" s="303"/>
      <c r="M36" s="82"/>
    </row>
    <row r="37" spans="1:13" s="1" customFormat="1" x14ac:dyDescent="0.2">
      <c r="A37" s="125"/>
      <c r="B37" s="125"/>
      <c r="C37" s="125"/>
      <c r="D37" s="125"/>
      <c r="E37" s="305" t="s">
        <v>688</v>
      </c>
      <c r="F37" s="306">
        <f>F11+F22+F27</f>
        <v>-16.892210759495828</v>
      </c>
      <c r="G37" s="305" t="str">
        <f>InpActive!$F$15</f>
        <v>£m (2017-18 FYA CPIH prices)</v>
      </c>
      <c r="H37" s="303"/>
      <c r="M37" s="82"/>
    </row>
    <row r="38" spans="1:13" s="1" customFormat="1" x14ac:dyDescent="0.2">
      <c r="A38" s="125"/>
      <c r="B38" s="125"/>
      <c r="C38" s="125"/>
      <c r="D38" s="125"/>
      <c r="E38" s="305" t="s">
        <v>689</v>
      </c>
      <c r="F38" s="306">
        <f>F12+F28</f>
        <v>0</v>
      </c>
      <c r="G38" s="305" t="str">
        <f>InpActive!$F$15</f>
        <v>£m (2017-18 FYA CPIH prices)</v>
      </c>
      <c r="H38" s="303"/>
      <c r="M38" s="82"/>
    </row>
    <row r="39" spans="1:13" s="1" customFormat="1" x14ac:dyDescent="0.2">
      <c r="A39" s="125"/>
      <c r="B39" s="125"/>
      <c r="C39" s="125"/>
      <c r="D39" s="125"/>
      <c r="E39" s="305" t="s">
        <v>690</v>
      </c>
      <c r="F39" s="306">
        <f>F13+F19+F29</f>
        <v>3.0909999999999997</v>
      </c>
      <c r="G39" s="305" t="str">
        <f>InpActive!$F$15</f>
        <v>£m (2017-18 FYA CPIH prices)</v>
      </c>
      <c r="H39" s="303"/>
      <c r="M39" s="82"/>
    </row>
    <row r="40" spans="1:13" s="1" customFormat="1" x14ac:dyDescent="0.2">
      <c r="A40" s="125"/>
      <c r="B40" s="125"/>
      <c r="C40" s="125"/>
      <c r="D40" s="125"/>
      <c r="E40" s="305" t="s">
        <v>691</v>
      </c>
      <c r="F40" s="306">
        <f>F14+F30</f>
        <v>0</v>
      </c>
      <c r="G40" s="305" t="str">
        <f>InpActive!$F$15</f>
        <v>£m (2017-18 FYA CPIH prices)</v>
      </c>
      <c r="H40" s="303"/>
      <c r="M40" s="82"/>
    </row>
    <row r="41" spans="1:13" s="1" customFormat="1" x14ac:dyDescent="0.2">
      <c r="A41" s="125"/>
      <c r="B41" s="125"/>
      <c r="C41" s="125"/>
      <c r="D41" s="125"/>
      <c r="E41" s="305" t="s">
        <v>692</v>
      </c>
      <c r="F41" s="306">
        <f>F15+F31</f>
        <v>0</v>
      </c>
      <c r="G41" s="305" t="str">
        <f>InpActive!$F$15</f>
        <v>£m (2017-18 FYA CPIH prices)</v>
      </c>
      <c r="H41" s="303"/>
    </row>
    <row r="42" spans="1:13" s="1" customFormat="1" x14ac:dyDescent="0.2">
      <c r="A42" s="125"/>
      <c r="B42" s="125"/>
      <c r="C42" s="125"/>
      <c r="D42" s="125"/>
      <c r="E42" s="305" t="s">
        <v>693</v>
      </c>
      <c r="F42" s="306">
        <f>F16+F21+F32</f>
        <v>0</v>
      </c>
      <c r="G42" s="305" t="str">
        <f>InpActive!$F$15</f>
        <v>£m (2017-18 FYA CPIH prices)</v>
      </c>
      <c r="H42" s="303"/>
    </row>
    <row r="43" spans="1:13" s="1" customFormat="1" x14ac:dyDescent="0.2">
      <c r="A43" s="125"/>
      <c r="B43" s="125"/>
      <c r="C43" s="125"/>
      <c r="D43" s="125"/>
      <c r="E43" s="125"/>
      <c r="F43" s="241"/>
      <c r="G43" s="125"/>
    </row>
    <row r="44" spans="1:13" s="1" customFormat="1" x14ac:dyDescent="0.2">
      <c r="A44" s="125"/>
      <c r="B44" s="125"/>
      <c r="C44" s="129" t="s">
        <v>561</v>
      </c>
      <c r="D44" s="125"/>
      <c r="E44" s="125"/>
      <c r="F44" s="241"/>
      <c r="G44" s="125"/>
    </row>
    <row r="45" spans="1:13" s="1" customFormat="1" x14ac:dyDescent="0.2">
      <c r="A45" s="125"/>
      <c r="B45" s="125"/>
      <c r="C45" s="125"/>
      <c r="D45" s="125"/>
      <c r="E45" s="125"/>
      <c r="F45" s="241"/>
      <c r="G45" s="125"/>
    </row>
    <row r="46" spans="1:13" s="1" customFormat="1" x14ac:dyDescent="0.2">
      <c r="A46" s="125"/>
      <c r="B46" s="125"/>
      <c r="C46" s="125"/>
      <c r="D46" s="300" t="str">
        <f>InpActive!D50</f>
        <v>Voluntary abatements</v>
      </c>
      <c r="E46" s="125"/>
      <c r="F46" s="241"/>
      <c r="G46" s="125"/>
    </row>
    <row r="47" spans="1:13" s="1" customFormat="1" x14ac:dyDescent="0.2">
      <c r="A47" s="125"/>
      <c r="B47" s="125"/>
      <c r="C47" s="125"/>
      <c r="D47" s="125"/>
      <c r="E47" s="301" t="str">
        <f>InpActive!E51</f>
        <v>Voluntary abatements - water resources</v>
      </c>
      <c r="F47" s="302">
        <f>InpActive!F51</f>
        <v>0</v>
      </c>
      <c r="G47" s="301" t="str">
        <f>InpActive!G51</f>
        <v>£m (2017-18 FYA CPIH prices)</v>
      </c>
      <c r="H47" s="303"/>
    </row>
    <row r="48" spans="1:13" s="1" customFormat="1" x14ac:dyDescent="0.2">
      <c r="A48" s="125"/>
      <c r="B48" s="125"/>
      <c r="C48" s="125"/>
      <c r="D48" s="125"/>
      <c r="E48" s="301" t="str">
        <f>InpActive!E52</f>
        <v>Voluntary abatements - water network plus</v>
      </c>
      <c r="F48" s="302">
        <f>InpActive!F52</f>
        <v>0</v>
      </c>
      <c r="G48" s="301" t="str">
        <f>InpActive!G52</f>
        <v>£m (2017-18 FYA CPIH prices)</v>
      </c>
      <c r="H48" s="303"/>
    </row>
    <row r="49" spans="1:8" s="1" customFormat="1" x14ac:dyDescent="0.2">
      <c r="A49" s="125"/>
      <c r="B49" s="125"/>
      <c r="C49" s="125"/>
      <c r="D49" s="125"/>
      <c r="E49" s="301" t="str">
        <f>InpActive!E53</f>
        <v>Voluntary abatements - wastewater network plus</v>
      </c>
      <c r="F49" s="302">
        <f>InpActive!F53</f>
        <v>0</v>
      </c>
      <c r="G49" s="301" t="str">
        <f>InpActive!G53</f>
        <v>£m (2017-18 FYA CPIH prices)</v>
      </c>
      <c r="H49" s="303"/>
    </row>
    <row r="50" spans="1:8" s="1" customFormat="1" x14ac:dyDescent="0.2">
      <c r="A50" s="125"/>
      <c r="B50" s="125"/>
      <c r="C50" s="125"/>
      <c r="D50" s="125"/>
      <c r="E50" s="301" t="str">
        <f>InpActive!E54</f>
        <v>Voluntary abatements - bioresources (sludge)</v>
      </c>
      <c r="F50" s="302">
        <f>InpActive!F54</f>
        <v>0</v>
      </c>
      <c r="G50" s="301" t="str">
        <f>InpActive!G54</f>
        <v>£m (2017-18 FYA CPIH prices)</v>
      </c>
      <c r="H50" s="303"/>
    </row>
    <row r="51" spans="1:8" s="1" customFormat="1" x14ac:dyDescent="0.2">
      <c r="A51" s="125"/>
      <c r="B51" s="125"/>
      <c r="C51" s="125"/>
      <c r="D51" s="125"/>
      <c r="E51" s="301" t="str">
        <f>InpActive!E55</f>
        <v>Voluntary abatements - residential retail</v>
      </c>
      <c r="F51" s="302">
        <f>InpActive!F55</f>
        <v>0</v>
      </c>
      <c r="G51" s="301" t="str">
        <f>InpActive!G55</f>
        <v>£m (2017-18 FYA CPIH prices)</v>
      </c>
      <c r="H51" s="303"/>
    </row>
    <row r="52" spans="1:8" s="1" customFormat="1" x14ac:dyDescent="0.2">
      <c r="A52" s="125"/>
      <c r="B52" s="125"/>
      <c r="C52" s="125"/>
      <c r="D52" s="125"/>
      <c r="E52" s="301" t="str">
        <f>InpActive!E56</f>
        <v>Voluntary abatements - business retail</v>
      </c>
      <c r="F52" s="302">
        <f>InpActive!F56</f>
        <v>0</v>
      </c>
      <c r="G52" s="301" t="str">
        <f>InpActive!G56</f>
        <v>£m (2017-18 FYA CPIH prices)</v>
      </c>
      <c r="H52" s="303"/>
    </row>
    <row r="53" spans="1:8" s="1" customFormat="1" x14ac:dyDescent="0.2">
      <c r="A53" s="125"/>
      <c r="B53" s="125"/>
      <c r="C53" s="125"/>
      <c r="D53" s="125"/>
      <c r="E53" s="301" t="str">
        <f>InpActive!E57</f>
        <v>Voluntary abatements - additional control 1</v>
      </c>
      <c r="F53" s="302">
        <f>InpActive!F57</f>
        <v>0</v>
      </c>
      <c r="G53" s="301" t="str">
        <f>InpActive!G57</f>
        <v>£m (2017-18 FYA CPIH prices)</v>
      </c>
      <c r="H53" s="303"/>
    </row>
    <row r="54" spans="1:8" s="1" customFormat="1" x14ac:dyDescent="0.2">
      <c r="A54" s="125"/>
      <c r="B54" s="125"/>
      <c r="C54" s="125"/>
      <c r="D54" s="125"/>
      <c r="E54" s="301" t="str">
        <f>InpActive!E58</f>
        <v>Voluntary abatements - additional control 2</v>
      </c>
      <c r="F54" s="302">
        <f>InpActive!F58</f>
        <v>0</v>
      </c>
      <c r="G54" s="301" t="str">
        <f>InpActive!G58</f>
        <v>£m (2017-18 FYA CPIH prices)</v>
      </c>
      <c r="H54" s="303"/>
    </row>
    <row r="55" spans="1:8" s="1" customFormat="1" x14ac:dyDescent="0.2">
      <c r="A55" s="125"/>
      <c r="B55" s="125"/>
      <c r="C55" s="125"/>
      <c r="D55" s="125"/>
      <c r="E55" s="125"/>
      <c r="F55" s="241"/>
      <c r="G55" s="125"/>
    </row>
    <row r="56" spans="1:8" s="1" customFormat="1" x14ac:dyDescent="0.2">
      <c r="A56" s="125"/>
      <c r="B56" s="125"/>
      <c r="C56" s="125"/>
      <c r="D56" s="300" t="s">
        <v>694</v>
      </c>
      <c r="E56" s="125"/>
      <c r="F56" s="241"/>
      <c r="G56" s="125"/>
    </row>
    <row r="57" spans="1:8" s="1" customFormat="1" x14ac:dyDescent="0.2">
      <c r="A57" s="125"/>
      <c r="B57" s="125"/>
      <c r="C57" s="125"/>
      <c r="D57" s="125"/>
      <c r="E57" s="305" t="s">
        <v>695</v>
      </c>
      <c r="F57" s="306">
        <f t="shared" ref="F57:F64" si="0">IF(F35&gt;0,IF(F47&lt;F35,F35-F47,0),F35)</f>
        <v>-8.7999999999999995E-2</v>
      </c>
      <c r="G57" s="305" t="str">
        <f>InpActive!$F$15</f>
        <v>£m (2017-18 FYA CPIH prices)</v>
      </c>
      <c r="H57" s="303"/>
    </row>
    <row r="58" spans="1:8" s="1" customFormat="1" x14ac:dyDescent="0.2">
      <c r="A58" s="125"/>
      <c r="B58" s="125"/>
      <c r="C58" s="125"/>
      <c r="D58" s="125"/>
      <c r="E58" s="305" t="s">
        <v>696</v>
      </c>
      <c r="F58" s="306">
        <f t="shared" si="0"/>
        <v>-20.254644814182257</v>
      </c>
      <c r="G58" s="305" t="str">
        <f>InpActive!$F$15</f>
        <v>£m (2017-18 FYA CPIH prices)</v>
      </c>
      <c r="H58" s="303"/>
    </row>
    <row r="59" spans="1:8" s="1" customFormat="1" x14ac:dyDescent="0.2">
      <c r="A59" s="125"/>
      <c r="B59" s="125"/>
      <c r="C59" s="125"/>
      <c r="D59" s="125"/>
      <c r="E59" s="305" t="s">
        <v>697</v>
      </c>
      <c r="F59" s="306">
        <f t="shared" si="0"/>
        <v>-16.892210759495828</v>
      </c>
      <c r="G59" s="305" t="str">
        <f>InpActive!$F$15</f>
        <v>£m (2017-18 FYA CPIH prices)</v>
      </c>
      <c r="H59" s="303"/>
    </row>
    <row r="60" spans="1:8" s="1" customFormat="1" x14ac:dyDescent="0.2">
      <c r="A60" s="125"/>
      <c r="B60" s="125"/>
      <c r="C60" s="125"/>
      <c r="D60" s="125"/>
      <c r="E60" s="305" t="s">
        <v>698</v>
      </c>
      <c r="F60" s="306">
        <f t="shared" si="0"/>
        <v>0</v>
      </c>
      <c r="G60" s="305" t="str">
        <f>InpActive!$F$15</f>
        <v>£m (2017-18 FYA CPIH prices)</v>
      </c>
      <c r="H60" s="303"/>
    </row>
    <row r="61" spans="1:8" s="1" customFormat="1" x14ac:dyDescent="0.2">
      <c r="A61" s="125"/>
      <c r="B61" s="125"/>
      <c r="C61" s="125"/>
      <c r="D61" s="125"/>
      <c r="E61" s="305" t="s">
        <v>699</v>
      </c>
      <c r="F61" s="306">
        <f t="shared" si="0"/>
        <v>3.0909999999999997</v>
      </c>
      <c r="G61" s="305" t="str">
        <f>InpActive!$F$15</f>
        <v>£m (2017-18 FYA CPIH prices)</v>
      </c>
      <c r="H61" s="303"/>
    </row>
    <row r="62" spans="1:8" s="1" customFormat="1" x14ac:dyDescent="0.2">
      <c r="A62" s="125"/>
      <c r="B62" s="125"/>
      <c r="C62" s="125"/>
      <c r="D62" s="125"/>
      <c r="E62" s="305" t="s">
        <v>700</v>
      </c>
      <c r="F62" s="306">
        <f t="shared" si="0"/>
        <v>0</v>
      </c>
      <c r="G62" s="305" t="str">
        <f>InpActive!$F$15</f>
        <v>£m (2017-18 FYA CPIH prices)</v>
      </c>
      <c r="H62" s="303"/>
    </row>
    <row r="63" spans="1:8" s="1" customFormat="1" x14ac:dyDescent="0.2">
      <c r="A63" s="125"/>
      <c r="B63" s="125"/>
      <c r="C63" s="125"/>
      <c r="D63" s="125"/>
      <c r="E63" s="305" t="s">
        <v>701</v>
      </c>
      <c r="F63" s="306">
        <f t="shared" si="0"/>
        <v>0</v>
      </c>
      <c r="G63" s="305" t="str">
        <f>InpActive!$F$15</f>
        <v>£m (2017-18 FYA CPIH prices)</v>
      </c>
      <c r="H63" s="306"/>
    </row>
    <row r="64" spans="1:8" s="1" customFormat="1" x14ac:dyDescent="0.2">
      <c r="A64" s="125"/>
      <c r="B64" s="125"/>
      <c r="C64" s="125"/>
      <c r="D64" s="125"/>
      <c r="E64" s="305" t="s">
        <v>702</v>
      </c>
      <c r="F64" s="306">
        <f t="shared" si="0"/>
        <v>0</v>
      </c>
      <c r="G64" s="305" t="str">
        <f>InpActive!$F$15</f>
        <v>£m (2017-18 FYA CPIH prices)</v>
      </c>
      <c r="H64" s="306"/>
    </row>
    <row r="65" spans="1:8" s="1" customFormat="1" x14ac:dyDescent="0.2">
      <c r="A65" s="125"/>
      <c r="B65" s="125"/>
      <c r="C65" s="125"/>
      <c r="D65" s="125"/>
      <c r="E65" s="125"/>
      <c r="F65" s="127"/>
      <c r="G65" s="125"/>
      <c r="H65" s="241"/>
    </row>
    <row r="66" spans="1:8" s="209" customFormat="1" ht="13.5" x14ac:dyDescent="0.25">
      <c r="A66" s="209" t="s">
        <v>703</v>
      </c>
    </row>
    <row r="67" spans="1:8" s="1" customFormat="1" x14ac:dyDescent="0.2">
      <c r="A67" s="125"/>
      <c r="B67" s="125"/>
      <c r="C67" s="125"/>
      <c r="D67" s="125"/>
      <c r="E67" s="125"/>
      <c r="F67" s="127"/>
      <c r="G67" s="125"/>
      <c r="H67" s="241"/>
    </row>
    <row r="68" spans="1:8" s="1" customFormat="1" x14ac:dyDescent="0.2">
      <c r="A68" s="125"/>
      <c r="B68" s="125"/>
      <c r="C68" s="129" t="s">
        <v>570</v>
      </c>
      <c r="D68" s="125"/>
      <c r="E68" s="125"/>
      <c r="F68" s="127"/>
      <c r="G68" s="125"/>
      <c r="H68" s="241"/>
    </row>
    <row r="69" spans="1:8" s="1" customFormat="1" x14ac:dyDescent="0.2">
      <c r="A69" s="125"/>
      <c r="B69" s="125"/>
      <c r="C69" s="125"/>
      <c r="D69" s="125"/>
      <c r="E69" s="125"/>
      <c r="F69" s="127"/>
      <c r="G69" s="125"/>
      <c r="H69" s="241"/>
    </row>
    <row r="70" spans="1:8" s="1" customFormat="1" x14ac:dyDescent="0.2">
      <c r="A70" s="125"/>
      <c r="B70" s="125"/>
      <c r="C70" s="125"/>
      <c r="D70" s="300" t="str">
        <f>InpActive!D60</f>
        <v>Voluntary deferrals</v>
      </c>
      <c r="E70" s="125"/>
      <c r="F70" s="127"/>
      <c r="G70" s="125"/>
      <c r="H70" s="241"/>
    </row>
    <row r="71" spans="1:8" s="1" customFormat="1" x14ac:dyDescent="0.2">
      <c r="A71" s="125"/>
      <c r="B71" s="125"/>
      <c r="C71" s="125"/>
      <c r="D71" s="125"/>
      <c r="E71" s="301" t="str">
        <f>InpActive!E61</f>
        <v>Voluntary deferrals - water resources</v>
      </c>
      <c r="F71" s="302">
        <f>InpActive!F61</f>
        <v>0</v>
      </c>
      <c r="G71" s="301" t="str">
        <f>InpActive!G61</f>
        <v>£m (2017-18 FYA CPIH prices)</v>
      </c>
      <c r="H71" s="303"/>
    </row>
    <row r="72" spans="1:8" s="1" customFormat="1" x14ac:dyDescent="0.2">
      <c r="A72" s="125"/>
      <c r="B72" s="125"/>
      <c r="C72" s="125"/>
      <c r="D72" s="125"/>
      <c r="E72" s="301" t="str">
        <f>InpActive!E62</f>
        <v>Voluntary deferrals - water network plus</v>
      </c>
      <c r="F72" s="302">
        <f>InpActive!F62</f>
        <v>0</v>
      </c>
      <c r="G72" s="301" t="str">
        <f>InpActive!G62</f>
        <v>£m (2017-18 FYA CPIH prices)</v>
      </c>
      <c r="H72" s="303"/>
    </row>
    <row r="73" spans="1:8" s="1" customFormat="1" x14ac:dyDescent="0.2">
      <c r="A73" s="125"/>
      <c r="B73" s="125"/>
      <c r="C73" s="125"/>
      <c r="D73" s="125"/>
      <c r="E73" s="301" t="str">
        <f>InpActive!E63</f>
        <v>Voluntary deferrals - wastewater network plus</v>
      </c>
      <c r="F73" s="302">
        <f>InpActive!F63</f>
        <v>0</v>
      </c>
      <c r="G73" s="301" t="str">
        <f>InpActive!G63</f>
        <v>£m (2017-18 FYA CPIH prices)</v>
      </c>
      <c r="H73" s="303"/>
    </row>
    <row r="74" spans="1:8" s="1" customFormat="1" x14ac:dyDescent="0.2">
      <c r="A74" s="125"/>
      <c r="B74" s="125"/>
      <c r="C74" s="125"/>
      <c r="D74" s="125"/>
      <c r="E74" s="301" t="str">
        <f>InpActive!E64</f>
        <v>Voluntary deferrals - bioresources (sludge)</v>
      </c>
      <c r="F74" s="302">
        <f>InpActive!F64</f>
        <v>0</v>
      </c>
      <c r="G74" s="301" t="str">
        <f>InpActive!G64</f>
        <v>£m (2017-18 FYA CPIH prices)</v>
      </c>
      <c r="H74" s="303"/>
    </row>
    <row r="75" spans="1:8" s="1" customFormat="1" x14ac:dyDescent="0.2">
      <c r="A75" s="125"/>
      <c r="B75" s="125"/>
      <c r="C75" s="125"/>
      <c r="D75" s="125"/>
      <c r="E75" s="301" t="str">
        <f>InpActive!E65</f>
        <v>Voluntary deferrals - residential retail</v>
      </c>
      <c r="F75" s="302">
        <f>InpActive!F65</f>
        <v>0</v>
      </c>
      <c r="G75" s="301" t="str">
        <f>InpActive!G65</f>
        <v>£m (2017-18 FYA CPIH prices)</v>
      </c>
      <c r="H75" s="303"/>
    </row>
    <row r="76" spans="1:8" s="1" customFormat="1" x14ac:dyDescent="0.2">
      <c r="A76" s="125"/>
      <c r="B76" s="125"/>
      <c r="C76" s="125"/>
      <c r="D76" s="125"/>
      <c r="E76" s="301" t="str">
        <f>InpActive!E66</f>
        <v>Voluntary deferrals - business retail</v>
      </c>
      <c r="F76" s="302">
        <f>InpActive!F66</f>
        <v>0</v>
      </c>
      <c r="G76" s="301" t="str">
        <f>InpActive!G66</f>
        <v>£m (2017-18 FYA CPIH prices)</v>
      </c>
      <c r="H76" s="303"/>
    </row>
    <row r="77" spans="1:8" s="1" customFormat="1" x14ac:dyDescent="0.2">
      <c r="A77" s="125"/>
      <c r="B77" s="125"/>
      <c r="C77" s="125"/>
      <c r="D77" s="125"/>
      <c r="E77" s="301" t="str">
        <f>InpActive!E67</f>
        <v>Voluntary deferrals - additional control 1</v>
      </c>
      <c r="F77" s="302">
        <f>InpActive!F67</f>
        <v>0</v>
      </c>
      <c r="G77" s="301" t="str">
        <f>InpActive!G67</f>
        <v>£m (2017-18 FYA CPIH prices)</v>
      </c>
      <c r="H77" s="303"/>
    </row>
    <row r="78" spans="1:8" s="1" customFormat="1" x14ac:dyDescent="0.2">
      <c r="A78" s="125"/>
      <c r="B78" s="125"/>
      <c r="C78" s="125"/>
      <c r="D78" s="125"/>
      <c r="E78" s="301" t="str">
        <f>InpActive!E68</f>
        <v>Voluntary deferrals - additional control 2</v>
      </c>
      <c r="F78" s="302">
        <f>InpActive!F68</f>
        <v>0</v>
      </c>
      <c r="G78" s="301" t="str">
        <f>InpActive!G68</f>
        <v>£m (2017-18 FYA CPIH prices)</v>
      </c>
      <c r="H78" s="303"/>
    </row>
    <row r="79" spans="1:8" s="1" customFormat="1" x14ac:dyDescent="0.2">
      <c r="A79" s="125"/>
      <c r="B79" s="125"/>
      <c r="C79" s="125"/>
      <c r="D79" s="125"/>
      <c r="E79" s="125"/>
      <c r="F79" s="241"/>
      <c r="G79" s="125"/>
    </row>
    <row r="80" spans="1:8" s="1" customFormat="1" x14ac:dyDescent="0.2">
      <c r="A80" s="125"/>
      <c r="B80" s="125"/>
      <c r="C80" s="125"/>
      <c r="D80" s="300" t="s">
        <v>704</v>
      </c>
      <c r="E80" s="125"/>
      <c r="F80" s="241"/>
      <c r="G80" s="125"/>
    </row>
    <row r="81" spans="1:8" s="1" customFormat="1" x14ac:dyDescent="0.2">
      <c r="A81" s="125"/>
      <c r="B81" s="125"/>
      <c r="C81" s="125"/>
      <c r="D81" s="125"/>
      <c r="E81" s="305" t="s">
        <v>705</v>
      </c>
      <c r="F81" s="307">
        <f t="shared" ref="F81:F88" si="1">F57-F71</f>
        <v>-8.7999999999999995E-2</v>
      </c>
      <c r="G81" s="305" t="str">
        <f>InpActive!$F$15</f>
        <v>£m (2017-18 FYA CPIH prices)</v>
      </c>
      <c r="H81" s="303"/>
    </row>
    <row r="82" spans="1:8" s="1" customFormat="1" x14ac:dyDescent="0.2">
      <c r="A82" s="125"/>
      <c r="B82" s="125"/>
      <c r="C82" s="125"/>
      <c r="D82" s="125"/>
      <c r="E82" s="305" t="s">
        <v>706</v>
      </c>
      <c r="F82" s="307">
        <f t="shared" si="1"/>
        <v>-20.254644814182257</v>
      </c>
      <c r="G82" s="305" t="str">
        <f>InpActive!$F$15</f>
        <v>£m (2017-18 FYA CPIH prices)</v>
      </c>
      <c r="H82" s="303"/>
    </row>
    <row r="83" spans="1:8" s="1" customFormat="1" x14ac:dyDescent="0.2">
      <c r="A83" s="125"/>
      <c r="B83" s="125"/>
      <c r="C83" s="125"/>
      <c r="D83" s="125"/>
      <c r="E83" s="305" t="s">
        <v>707</v>
      </c>
      <c r="F83" s="307">
        <f t="shared" si="1"/>
        <v>-16.892210759495828</v>
      </c>
      <c r="G83" s="305" t="str">
        <f>InpActive!$F$15</f>
        <v>£m (2017-18 FYA CPIH prices)</v>
      </c>
      <c r="H83" s="303"/>
    </row>
    <row r="84" spans="1:8" s="1" customFormat="1" x14ac:dyDescent="0.2">
      <c r="A84" s="125"/>
      <c r="B84" s="125"/>
      <c r="C84" s="125"/>
      <c r="D84" s="125"/>
      <c r="E84" s="305" t="s">
        <v>708</v>
      </c>
      <c r="F84" s="307">
        <f t="shared" si="1"/>
        <v>0</v>
      </c>
      <c r="G84" s="305" t="str">
        <f>InpActive!$F$15</f>
        <v>£m (2017-18 FYA CPIH prices)</v>
      </c>
      <c r="H84" s="303"/>
    </row>
    <row r="85" spans="1:8" s="1" customFormat="1" x14ac:dyDescent="0.2">
      <c r="A85" s="125"/>
      <c r="B85" s="125"/>
      <c r="C85" s="125"/>
      <c r="D85" s="125"/>
      <c r="E85" s="305" t="s">
        <v>709</v>
      </c>
      <c r="F85" s="307">
        <f t="shared" si="1"/>
        <v>3.0909999999999997</v>
      </c>
      <c r="G85" s="305" t="str">
        <f>InpActive!$F$15</f>
        <v>£m (2017-18 FYA CPIH prices)</v>
      </c>
      <c r="H85" s="303"/>
    </row>
    <row r="86" spans="1:8" s="1" customFormat="1" x14ac:dyDescent="0.2">
      <c r="A86" s="125"/>
      <c r="B86" s="125"/>
      <c r="C86" s="125"/>
      <c r="D86" s="125"/>
      <c r="E86" s="305" t="s">
        <v>710</v>
      </c>
      <c r="F86" s="307">
        <f t="shared" si="1"/>
        <v>0</v>
      </c>
      <c r="G86" s="305" t="str">
        <f>InpActive!$F$15</f>
        <v>£m (2017-18 FYA CPIH prices)</v>
      </c>
      <c r="H86" s="303"/>
    </row>
    <row r="87" spans="1:8" s="1" customFormat="1" x14ac:dyDescent="0.2">
      <c r="A87" s="125"/>
      <c r="B87" s="125"/>
      <c r="C87" s="125"/>
      <c r="D87" s="125"/>
      <c r="E87" s="305" t="s">
        <v>711</v>
      </c>
      <c r="F87" s="307">
        <f t="shared" si="1"/>
        <v>0</v>
      </c>
      <c r="G87" s="305" t="str">
        <f>InpActive!$F$15</f>
        <v>£m (2017-18 FYA CPIH prices)</v>
      </c>
      <c r="H87" s="303"/>
    </row>
    <row r="88" spans="1:8" s="1" customFormat="1" x14ac:dyDescent="0.2">
      <c r="A88" s="125"/>
      <c r="B88" s="125"/>
      <c r="C88" s="125"/>
      <c r="D88" s="125"/>
      <c r="E88" s="305" t="s">
        <v>712</v>
      </c>
      <c r="F88" s="307">
        <f t="shared" si="1"/>
        <v>0</v>
      </c>
      <c r="G88" s="305" t="str">
        <f>InpActive!$F$15</f>
        <v>£m (2017-18 FYA CPIH prices)</v>
      </c>
      <c r="H88" s="303"/>
    </row>
    <row r="89" spans="1:8" s="1" customFormat="1" x14ac:dyDescent="0.2">
      <c r="A89" s="125"/>
      <c r="B89" s="125"/>
      <c r="C89" s="125"/>
      <c r="D89" s="125"/>
      <c r="E89" s="125"/>
      <c r="F89" s="241"/>
      <c r="G89" s="125"/>
    </row>
    <row r="90" spans="1:8" s="1" customFormat="1" x14ac:dyDescent="0.2">
      <c r="A90" s="125"/>
      <c r="B90" s="125"/>
      <c r="C90" s="129" t="s">
        <v>713</v>
      </c>
      <c r="D90" s="125"/>
      <c r="E90" s="125"/>
      <c r="F90" s="241"/>
      <c r="G90" s="125"/>
    </row>
    <row r="91" spans="1:8" s="1" customFormat="1" x14ac:dyDescent="0.2">
      <c r="A91" s="125"/>
      <c r="B91" s="125"/>
      <c r="C91" s="125"/>
      <c r="D91" s="125"/>
      <c r="E91" s="125"/>
      <c r="F91" s="241"/>
      <c r="G91" s="125"/>
    </row>
    <row r="92" spans="1:8" s="1" customFormat="1" x14ac:dyDescent="0.2">
      <c r="A92" s="125"/>
      <c r="B92" s="125"/>
      <c r="C92" s="125"/>
      <c r="D92" s="126" t="s">
        <v>714</v>
      </c>
      <c r="E92" s="125"/>
      <c r="F92" s="241"/>
      <c r="G92" s="125"/>
    </row>
    <row r="93" spans="1:8" s="1" customFormat="1" x14ac:dyDescent="0.2">
      <c r="A93" s="125"/>
      <c r="B93" s="125"/>
      <c r="C93" s="125"/>
      <c r="D93" s="125"/>
      <c r="E93" s="301" t="str">
        <f>InpActive!E86</f>
        <v>Discount rate (wholesale allowed return on capital - real CPIH)</v>
      </c>
      <c r="F93" s="308">
        <f>InpActive!F86</f>
        <v>3.1199999999999999E-2</v>
      </c>
      <c r="G93" s="301" t="str">
        <f>InpActive!G86</f>
        <v>Percentage</v>
      </c>
      <c r="H93" s="303"/>
    </row>
    <row r="94" spans="1:8" s="1" customFormat="1" x14ac:dyDescent="0.2">
      <c r="A94" s="125"/>
      <c r="B94" s="125"/>
      <c r="C94" s="125"/>
      <c r="D94" s="125"/>
      <c r="E94" s="301" t="str">
        <f>InpActive!E87</f>
        <v>Discount rate (appointee allowed return on capital - real CPIH)</v>
      </c>
      <c r="F94" s="308">
        <f>InpActive!F87</f>
        <v>3.2000000000000001E-2</v>
      </c>
      <c r="G94" s="301" t="str">
        <f>InpActive!G87</f>
        <v>Percentage</v>
      </c>
      <c r="H94" s="303"/>
    </row>
    <row r="95" spans="1:8" s="1" customFormat="1" x14ac:dyDescent="0.2">
      <c r="A95" s="125"/>
      <c r="B95" s="125"/>
      <c r="C95" s="125"/>
      <c r="D95" s="125"/>
      <c r="E95" s="301" t="str">
        <f>InpActive!E88</f>
        <v>Years of delay for deferrals</v>
      </c>
      <c r="F95" s="309">
        <f>InpActive!F88</f>
        <v>1</v>
      </c>
      <c r="G95" s="301" t="str">
        <f>InpActive!G88</f>
        <v>Number</v>
      </c>
      <c r="H95" s="303"/>
    </row>
    <row r="96" spans="1:8" s="1" customFormat="1" x14ac:dyDescent="0.2">
      <c r="A96" s="125"/>
      <c r="B96" s="125"/>
      <c r="C96" s="125"/>
      <c r="D96" s="125"/>
      <c r="E96" s="125"/>
      <c r="F96" s="241"/>
      <c r="G96" s="125"/>
    </row>
    <row r="97" spans="1:8" s="1" customFormat="1" x14ac:dyDescent="0.2">
      <c r="A97" s="125"/>
      <c r="B97" s="125"/>
      <c r="C97" s="125"/>
      <c r="D97" s="300" t="s">
        <v>715</v>
      </c>
      <c r="E97" s="125"/>
      <c r="F97" s="241"/>
      <c r="G97" s="125"/>
    </row>
    <row r="98" spans="1:8" s="1" customFormat="1" x14ac:dyDescent="0.2">
      <c r="A98" s="125"/>
      <c r="B98" s="125"/>
      <c r="C98" s="125"/>
      <c r="D98" s="125"/>
      <c r="E98" s="305" t="s">
        <v>716</v>
      </c>
      <c r="F98" s="310">
        <f>F71*((1+F$93)^F$95)</f>
        <v>0</v>
      </c>
      <c r="G98" s="125"/>
      <c r="H98" s="303"/>
    </row>
    <row r="99" spans="1:8" s="1" customFormat="1" x14ac:dyDescent="0.2">
      <c r="A99" s="125"/>
      <c r="B99" s="125"/>
      <c r="C99" s="125"/>
      <c r="D99" s="125"/>
      <c r="E99" s="305" t="s">
        <v>717</v>
      </c>
      <c r="F99" s="310">
        <f>F72*((1+F$93)^F$95)</f>
        <v>0</v>
      </c>
      <c r="G99" s="125"/>
      <c r="H99" s="303"/>
    </row>
    <row r="100" spans="1:8" s="1" customFormat="1" x14ac:dyDescent="0.2">
      <c r="A100" s="125"/>
      <c r="B100" s="125"/>
      <c r="C100" s="125"/>
      <c r="D100" s="125"/>
      <c r="E100" s="305" t="s">
        <v>718</v>
      </c>
      <c r="F100" s="310">
        <f>F73*((1+F$93)^F$95)</f>
        <v>0</v>
      </c>
      <c r="G100" s="125"/>
      <c r="H100" s="303"/>
    </row>
    <row r="101" spans="1:8" s="1" customFormat="1" x14ac:dyDescent="0.2">
      <c r="A101" s="125"/>
      <c r="B101" s="125"/>
      <c r="C101" s="125"/>
      <c r="D101" s="125"/>
      <c r="E101" s="305" t="s">
        <v>719</v>
      </c>
      <c r="F101" s="310">
        <f>F74*((1+F$93)^F$95)</f>
        <v>0</v>
      </c>
      <c r="G101" s="125"/>
      <c r="H101" s="303"/>
    </row>
    <row r="102" spans="1:8" s="1" customFormat="1" x14ac:dyDescent="0.2">
      <c r="A102" s="125"/>
      <c r="B102" s="125"/>
      <c r="C102" s="125"/>
      <c r="D102" s="125"/>
      <c r="E102" s="305" t="s">
        <v>720</v>
      </c>
      <c r="F102" s="310">
        <f>F77*((1+F$93)^F$95)</f>
        <v>0</v>
      </c>
      <c r="G102" s="125"/>
      <c r="H102" s="303"/>
    </row>
    <row r="103" spans="1:8" s="1" customFormat="1" x14ac:dyDescent="0.2">
      <c r="A103" s="125"/>
      <c r="B103" s="125"/>
      <c r="C103" s="125"/>
      <c r="D103" s="125"/>
      <c r="E103" s="305" t="s">
        <v>721</v>
      </c>
      <c r="F103" s="310">
        <f>F78*((1+F$93)^F$95)</f>
        <v>0</v>
      </c>
      <c r="G103" s="125"/>
      <c r="H103" s="303"/>
    </row>
    <row r="104" spans="1:8" s="1" customFormat="1" x14ac:dyDescent="0.2">
      <c r="A104" s="125"/>
      <c r="B104" s="125"/>
      <c r="C104" s="125"/>
      <c r="D104" s="125"/>
      <c r="E104" s="125"/>
      <c r="F104" s="241"/>
      <c r="G104" s="125"/>
    </row>
    <row r="105" spans="1:8" s="1" customFormat="1" x14ac:dyDescent="0.2">
      <c r="A105" s="125"/>
      <c r="B105" s="125"/>
      <c r="C105" s="125"/>
      <c r="D105" s="300" t="s">
        <v>722</v>
      </c>
      <c r="E105" s="125"/>
      <c r="F105" s="241"/>
      <c r="G105" s="125"/>
    </row>
    <row r="106" spans="1:8" s="1" customFormat="1" x14ac:dyDescent="0.2">
      <c r="A106" s="125"/>
      <c r="B106" s="125"/>
      <c r="C106" s="125"/>
      <c r="D106" s="125"/>
      <c r="E106" s="305" t="s">
        <v>723</v>
      </c>
      <c r="F106" s="307">
        <f>F75*((1+F$94)^F$95)</f>
        <v>0</v>
      </c>
      <c r="G106" s="125"/>
      <c r="H106" s="303"/>
    </row>
    <row r="107" spans="1:8" s="1" customFormat="1" x14ac:dyDescent="0.2">
      <c r="A107" s="125"/>
      <c r="B107" s="125"/>
      <c r="C107" s="125"/>
      <c r="D107" s="125"/>
      <c r="E107" s="305" t="s">
        <v>724</v>
      </c>
      <c r="F107" s="307">
        <f>F76*((1+F$94)^F$95)</f>
        <v>0</v>
      </c>
      <c r="G107" s="125"/>
      <c r="H107" s="303"/>
    </row>
    <row r="108" spans="1:8" s="1" customFormat="1" x14ac:dyDescent="0.2">
      <c r="A108" s="125"/>
      <c r="B108" s="125"/>
      <c r="C108" s="125"/>
      <c r="D108" s="125"/>
      <c r="E108" s="125"/>
      <c r="F108" s="241"/>
      <c r="G108" s="125"/>
    </row>
    <row r="109" spans="1:8" s="1" customFormat="1" x14ac:dyDescent="0.2">
      <c r="A109" s="125"/>
      <c r="B109" s="125"/>
      <c r="C109" s="125"/>
      <c r="D109" s="300" t="s">
        <v>725</v>
      </c>
      <c r="E109" s="125"/>
      <c r="F109" s="241"/>
      <c r="G109" s="125"/>
    </row>
    <row r="110" spans="1:8" s="1" customFormat="1" x14ac:dyDescent="0.2">
      <c r="A110" s="125"/>
      <c r="B110" s="125"/>
      <c r="C110" s="125"/>
      <c r="D110" s="125"/>
      <c r="E110" s="311" t="s">
        <v>716</v>
      </c>
      <c r="F110" s="312">
        <f>F98</f>
        <v>0</v>
      </c>
      <c r="G110" s="311" t="str">
        <f>InpActive!$F$15</f>
        <v>£m (2017-18 FYA CPIH prices)</v>
      </c>
      <c r="H110" s="303"/>
    </row>
    <row r="111" spans="1:8" s="1" customFormat="1" x14ac:dyDescent="0.2">
      <c r="A111" s="125"/>
      <c r="B111" s="125"/>
      <c r="C111" s="125"/>
      <c r="D111" s="125"/>
      <c r="E111" s="311" t="s">
        <v>717</v>
      </c>
      <c r="F111" s="312">
        <f>F99</f>
        <v>0</v>
      </c>
      <c r="G111" s="311" t="str">
        <f>InpActive!$F$15</f>
        <v>£m (2017-18 FYA CPIH prices)</v>
      </c>
      <c r="H111" s="303"/>
    </row>
    <row r="112" spans="1:8" s="1" customFormat="1" x14ac:dyDescent="0.2">
      <c r="A112" s="125"/>
      <c r="B112" s="125"/>
      <c r="C112" s="125"/>
      <c r="D112" s="125"/>
      <c r="E112" s="311" t="s">
        <v>718</v>
      </c>
      <c r="F112" s="312">
        <f>F100</f>
        <v>0</v>
      </c>
      <c r="G112" s="311" t="str">
        <f>InpActive!$F$15</f>
        <v>£m (2017-18 FYA CPIH prices)</v>
      </c>
      <c r="H112" s="303"/>
    </row>
    <row r="113" spans="1:9" s="1" customFormat="1" x14ac:dyDescent="0.2">
      <c r="A113" s="125"/>
      <c r="B113" s="125"/>
      <c r="C113" s="125"/>
      <c r="D113" s="125"/>
      <c r="E113" s="311" t="s">
        <v>719</v>
      </c>
      <c r="F113" s="312">
        <f>F101</f>
        <v>0</v>
      </c>
      <c r="G113" s="311" t="str">
        <f>InpActive!$F$15</f>
        <v>£m (2017-18 FYA CPIH prices)</v>
      </c>
      <c r="H113" s="303"/>
    </row>
    <row r="114" spans="1:9" s="1" customFormat="1" x14ac:dyDescent="0.2">
      <c r="A114" s="125"/>
      <c r="B114" s="125"/>
      <c r="C114" s="125"/>
      <c r="D114" s="125"/>
      <c r="E114" s="311" t="s">
        <v>723</v>
      </c>
      <c r="F114" s="312">
        <f>F106</f>
        <v>0</v>
      </c>
      <c r="G114" s="311" t="str">
        <f>InpActive!$F$15</f>
        <v>£m (2017-18 FYA CPIH prices)</v>
      </c>
      <c r="H114" s="303"/>
    </row>
    <row r="115" spans="1:9" s="1" customFormat="1" x14ac:dyDescent="0.2">
      <c r="A115" s="125"/>
      <c r="B115" s="125"/>
      <c r="C115" s="125"/>
      <c r="D115" s="125"/>
      <c r="E115" s="311" t="s">
        <v>724</v>
      </c>
      <c r="F115" s="312">
        <f>F107</f>
        <v>0</v>
      </c>
      <c r="G115" s="311" t="str">
        <f>InpActive!$F$15</f>
        <v>£m (2017-18 FYA CPIH prices)</v>
      </c>
      <c r="H115" s="303"/>
    </row>
    <row r="116" spans="1:9" s="1" customFormat="1" x14ac:dyDescent="0.2">
      <c r="A116" s="125"/>
      <c r="B116" s="125"/>
      <c r="C116" s="125"/>
      <c r="D116" s="125"/>
      <c r="E116" s="311" t="s">
        <v>720</v>
      </c>
      <c r="F116" s="312">
        <f>F102</f>
        <v>0</v>
      </c>
      <c r="G116" s="311" t="str">
        <f>InpActive!$F$15</f>
        <v>£m (2017-18 FYA CPIH prices)</v>
      </c>
      <c r="H116" s="303"/>
    </row>
    <row r="117" spans="1:9" s="1" customFormat="1" x14ac:dyDescent="0.2">
      <c r="A117" s="125"/>
      <c r="B117" s="125"/>
      <c r="C117" s="125"/>
      <c r="D117" s="125"/>
      <c r="E117" s="311" t="s">
        <v>721</v>
      </c>
      <c r="F117" s="312">
        <f>F103</f>
        <v>0</v>
      </c>
      <c r="G117" s="311" t="str">
        <f>InpActive!$F$15</f>
        <v>£m (2017-18 FYA CPIH prices)</v>
      </c>
      <c r="H117" s="303"/>
    </row>
    <row r="118" spans="1:9" s="82" customFormat="1" x14ac:dyDescent="0.2">
      <c r="A118" s="128"/>
      <c r="B118" s="128"/>
      <c r="C118" s="128"/>
      <c r="D118" s="128"/>
      <c r="E118" s="311" t="s">
        <v>726</v>
      </c>
      <c r="F118" s="312">
        <f xml:space="preserve"> SUM(F110:F117)</f>
        <v>0</v>
      </c>
      <c r="G118" s="311" t="s">
        <v>727</v>
      </c>
      <c r="H118" s="304"/>
    </row>
    <row r="119" spans="1:9" s="1" customFormat="1" x14ac:dyDescent="0.2">
      <c r="A119" s="125"/>
      <c r="B119" s="125"/>
      <c r="C119" s="125"/>
      <c r="D119" s="125"/>
      <c r="E119" s="125"/>
      <c r="F119" s="127"/>
      <c r="G119" s="125"/>
      <c r="H119" s="241"/>
    </row>
    <row r="120" spans="1:9" s="209" customFormat="1" ht="13.5" x14ac:dyDescent="0.25">
      <c r="A120" s="209" t="s">
        <v>728</v>
      </c>
    </row>
    <row r="121" spans="1:9" s="80" customFormat="1" x14ac:dyDescent="0.2">
      <c r="A121" s="77"/>
      <c r="B121" s="123"/>
      <c r="C121" s="123"/>
      <c r="D121" s="124"/>
      <c r="E121" s="78"/>
      <c r="F121" s="79"/>
      <c r="G121" s="78"/>
      <c r="H121" s="240"/>
      <c r="I121" s="81"/>
    </row>
    <row r="122" spans="1:9" s="80" customFormat="1" x14ac:dyDescent="0.2">
      <c r="A122" s="77"/>
      <c r="B122" s="123"/>
      <c r="C122" s="123"/>
      <c r="D122" s="262" t="s">
        <v>729</v>
      </c>
      <c r="E122" s="78"/>
      <c r="F122" s="79"/>
      <c r="G122" s="78"/>
      <c r="H122" s="240"/>
      <c r="I122" s="81"/>
    </row>
    <row r="123" spans="1:9" s="1" customFormat="1" x14ac:dyDescent="0.2">
      <c r="A123" s="125"/>
      <c r="B123" s="125"/>
      <c r="C123" s="125"/>
      <c r="D123" s="125"/>
      <c r="E123" s="301" t="str">
        <f>InpActive!E73</f>
        <v>Other bespoke adjustments - water resources</v>
      </c>
      <c r="F123" s="385">
        <f>InpActive!F73</f>
        <v>0</v>
      </c>
      <c r="G123" s="301" t="str">
        <f>InpActive!G73</f>
        <v>£m (2017-18 FYA CPIH prices)</v>
      </c>
      <c r="H123" s="303"/>
    </row>
    <row r="124" spans="1:9" s="1" customFormat="1" x14ac:dyDescent="0.2">
      <c r="A124" s="125"/>
      <c r="B124" s="125"/>
      <c r="C124" s="125"/>
      <c r="D124" s="125"/>
      <c r="E124" s="301" t="str">
        <f>InpActive!E74</f>
        <v>Other bespoke adjustments - water network plus</v>
      </c>
      <c r="F124" s="385">
        <f>InpActive!F74</f>
        <v>0</v>
      </c>
      <c r="G124" s="301" t="str">
        <f>InpActive!G74</f>
        <v>£m (2017-18 FYA CPIH prices)</v>
      </c>
      <c r="H124" s="303"/>
    </row>
    <row r="125" spans="1:9" s="1" customFormat="1" x14ac:dyDescent="0.2">
      <c r="A125" s="125"/>
      <c r="B125" s="125"/>
      <c r="C125" s="125"/>
      <c r="D125" s="125"/>
      <c r="E125" s="301" t="str">
        <f>InpActive!E75</f>
        <v>Other bespoke adjustments - wastewater network plus</v>
      </c>
      <c r="F125" s="385">
        <f>InpActive!F75</f>
        <v>0</v>
      </c>
      <c r="G125" s="301" t="str">
        <f>InpActive!G75</f>
        <v>£m (2017-18 FYA CPIH prices)</v>
      </c>
      <c r="H125" s="303"/>
    </row>
    <row r="126" spans="1:9" s="1" customFormat="1" x14ac:dyDescent="0.2">
      <c r="A126" s="125"/>
      <c r="B126" s="125"/>
      <c r="C126" s="125"/>
      <c r="D126" s="125"/>
      <c r="E126" s="301" t="str">
        <f>InpActive!E76</f>
        <v>Other bespoke adjustments - bioresources (sludge)</v>
      </c>
      <c r="F126" s="385">
        <f>InpActive!F76</f>
        <v>0</v>
      </c>
      <c r="G126" s="301" t="str">
        <f>InpActive!G76</f>
        <v>£m (2017-18 FYA CPIH prices)</v>
      </c>
      <c r="H126" s="303"/>
    </row>
    <row r="127" spans="1:9" s="1" customFormat="1" x14ac:dyDescent="0.2">
      <c r="A127" s="125"/>
      <c r="B127" s="125"/>
      <c r="C127" s="125"/>
      <c r="D127" s="125"/>
      <c r="E127" s="301" t="str">
        <f>InpActive!E77</f>
        <v>Other bespoke adjustments - residential retail</v>
      </c>
      <c r="F127" s="385">
        <f>InpActive!F77</f>
        <v>0</v>
      </c>
      <c r="G127" s="301" t="str">
        <f>InpActive!G77</f>
        <v>£m (2017-18 FYA CPIH prices)</v>
      </c>
      <c r="H127" s="303"/>
    </row>
    <row r="128" spans="1:9" s="1" customFormat="1" x14ac:dyDescent="0.2">
      <c r="A128" s="125"/>
      <c r="B128" s="125"/>
      <c r="C128" s="125"/>
      <c r="D128" s="125"/>
      <c r="E128" s="301" t="str">
        <f>InpActive!E78</f>
        <v>Other bespoke adjustments - business retail</v>
      </c>
      <c r="F128" s="385">
        <f>InpActive!F78</f>
        <v>0</v>
      </c>
      <c r="G128" s="301" t="str">
        <f>InpActive!G78</f>
        <v>£m (2017-18 FYA CPIH prices)</v>
      </c>
      <c r="H128" s="303"/>
    </row>
    <row r="129" spans="1:9" s="1" customFormat="1" x14ac:dyDescent="0.2">
      <c r="A129" s="125"/>
      <c r="B129" s="125"/>
      <c r="C129" s="125"/>
      <c r="D129" s="125"/>
      <c r="E129" s="301" t="str">
        <f>InpActive!E79</f>
        <v>Other bespoke adjustments - additional control 1</v>
      </c>
      <c r="F129" s="385">
        <f>InpActive!F79</f>
        <v>0</v>
      </c>
      <c r="G129" s="301" t="str">
        <f>InpActive!G79</f>
        <v>£m (2017-18 FYA CPIH prices)</v>
      </c>
      <c r="H129" s="303"/>
    </row>
    <row r="130" spans="1:9" s="1" customFormat="1" x14ac:dyDescent="0.2">
      <c r="A130" s="125"/>
      <c r="B130" s="125"/>
      <c r="C130" s="125"/>
      <c r="D130" s="125"/>
      <c r="E130" s="301" t="str">
        <f>InpActive!E80</f>
        <v>Other bespoke adjustments - additional control 2</v>
      </c>
      <c r="F130" s="385">
        <f>InpActive!F80</f>
        <v>0</v>
      </c>
      <c r="G130" s="301" t="str">
        <f>InpActive!G80</f>
        <v>£m (2017-18 FYA CPIH prices)</v>
      </c>
      <c r="H130" s="303"/>
    </row>
    <row r="131" spans="1:9" s="1" customFormat="1" x14ac:dyDescent="0.2">
      <c r="A131" s="125"/>
      <c r="B131" s="125"/>
      <c r="C131" s="125"/>
      <c r="D131" s="125"/>
      <c r="E131" s="301"/>
      <c r="F131" s="385"/>
      <c r="G131" s="301"/>
      <c r="H131" s="303"/>
    </row>
    <row r="132" spans="1:9" s="1" customFormat="1" x14ac:dyDescent="0.2">
      <c r="A132" s="125"/>
      <c r="B132" s="125"/>
      <c r="C132" s="125"/>
      <c r="D132" s="262" t="s">
        <v>730</v>
      </c>
      <c r="E132" s="109"/>
      <c r="F132" s="109"/>
      <c r="G132" s="109"/>
      <c r="H132" s="243"/>
    </row>
    <row r="133" spans="1:9" s="1" customFormat="1" x14ac:dyDescent="0.2">
      <c r="A133" s="125"/>
      <c r="B133" s="125"/>
      <c r="C133" s="125"/>
      <c r="D133" s="262"/>
      <c r="E133" s="109" t="s">
        <v>731</v>
      </c>
      <c r="F133" s="386">
        <f t="shared" ref="F133:F140" si="2">F81+F123</f>
        <v>-8.7999999999999995E-2</v>
      </c>
      <c r="G133" s="125" t="s">
        <v>727</v>
      </c>
      <c r="H133" s="243"/>
    </row>
    <row r="134" spans="1:9" s="1" customFormat="1" x14ac:dyDescent="0.2">
      <c r="A134" s="125"/>
      <c r="B134" s="125"/>
      <c r="C134" s="125"/>
      <c r="D134" s="262"/>
      <c r="E134" s="109" t="s">
        <v>732</v>
      </c>
      <c r="F134" s="386">
        <f t="shared" si="2"/>
        <v>-20.254644814182257</v>
      </c>
      <c r="G134" s="125" t="s">
        <v>727</v>
      </c>
      <c r="H134" s="243"/>
    </row>
    <row r="135" spans="1:9" s="1" customFormat="1" x14ac:dyDescent="0.2">
      <c r="A135" s="125"/>
      <c r="B135" s="125"/>
      <c r="C135" s="125"/>
      <c r="D135" s="262"/>
      <c r="E135" s="109" t="s">
        <v>733</v>
      </c>
      <c r="F135" s="386">
        <f t="shared" si="2"/>
        <v>-16.892210759495828</v>
      </c>
      <c r="G135" s="125" t="s">
        <v>727</v>
      </c>
      <c r="H135" s="243"/>
    </row>
    <row r="136" spans="1:9" s="1" customFormat="1" x14ac:dyDescent="0.2">
      <c r="A136" s="125"/>
      <c r="B136" s="125"/>
      <c r="C136" s="125"/>
      <c r="D136" s="262"/>
      <c r="E136" s="109" t="s">
        <v>734</v>
      </c>
      <c r="F136" s="386">
        <f t="shared" si="2"/>
        <v>0</v>
      </c>
      <c r="G136" s="125" t="s">
        <v>727</v>
      </c>
      <c r="H136" s="243"/>
    </row>
    <row r="137" spans="1:9" s="1" customFormat="1" x14ac:dyDescent="0.2">
      <c r="A137" s="125"/>
      <c r="B137" s="125"/>
      <c r="C137" s="125"/>
      <c r="D137" s="262"/>
      <c r="E137" s="109" t="s">
        <v>735</v>
      </c>
      <c r="F137" s="386">
        <f>F85+F127</f>
        <v>3.0909999999999997</v>
      </c>
      <c r="G137" s="125" t="s">
        <v>727</v>
      </c>
      <c r="H137" s="243"/>
    </row>
    <row r="138" spans="1:9" s="1" customFormat="1" x14ac:dyDescent="0.2">
      <c r="A138" s="125"/>
      <c r="B138" s="125"/>
      <c r="C138" s="125"/>
      <c r="D138" s="262"/>
      <c r="E138" s="109" t="s">
        <v>736</v>
      </c>
      <c r="F138" s="386">
        <f t="shared" si="2"/>
        <v>0</v>
      </c>
      <c r="G138" s="125" t="s">
        <v>727</v>
      </c>
      <c r="H138" s="243"/>
    </row>
    <row r="139" spans="1:9" s="1" customFormat="1" x14ac:dyDescent="0.2">
      <c r="A139" s="125"/>
      <c r="B139" s="125"/>
      <c r="C139" s="125"/>
      <c r="D139" s="262"/>
      <c r="E139" s="109" t="s">
        <v>737</v>
      </c>
      <c r="F139" s="386">
        <f t="shared" si="2"/>
        <v>0</v>
      </c>
      <c r="G139" s="125" t="s">
        <v>727</v>
      </c>
      <c r="H139" s="243"/>
    </row>
    <row r="140" spans="1:9" s="1" customFormat="1" x14ac:dyDescent="0.2">
      <c r="A140" s="125"/>
      <c r="B140" s="125"/>
      <c r="C140" s="125"/>
      <c r="D140" s="262"/>
      <c r="E140" s="109" t="s">
        <v>738</v>
      </c>
      <c r="F140" s="386">
        <f t="shared" si="2"/>
        <v>0</v>
      </c>
      <c r="G140" s="125" t="s">
        <v>727</v>
      </c>
      <c r="H140" s="243"/>
    </row>
    <row r="141" spans="1:9" s="80" customFormat="1" x14ac:dyDescent="0.2">
      <c r="A141" s="77"/>
      <c r="B141" s="123"/>
      <c r="C141" s="123"/>
      <c r="D141" s="124"/>
      <c r="E141" s="78"/>
      <c r="F141" s="79"/>
      <c r="G141" s="78"/>
      <c r="H141" s="240"/>
      <c r="I141" s="81"/>
    </row>
    <row r="142" spans="1:9" s="209" customFormat="1" ht="13.5" x14ac:dyDescent="0.25">
      <c r="A142" s="209" t="s">
        <v>739</v>
      </c>
    </row>
    <row r="143" spans="1:9" s="1" customFormat="1" x14ac:dyDescent="0.2">
      <c r="A143" s="125"/>
      <c r="B143" s="125"/>
      <c r="C143" s="129"/>
      <c r="D143" s="125"/>
      <c r="E143" s="125"/>
      <c r="F143" s="127"/>
      <c r="G143" s="125"/>
      <c r="H143" s="241"/>
    </row>
    <row r="144" spans="1:9" s="1" customFormat="1" x14ac:dyDescent="0.2">
      <c r="A144" s="125"/>
      <c r="B144" s="125"/>
      <c r="C144" s="125"/>
      <c r="D144" s="262" t="s">
        <v>730</v>
      </c>
      <c r="E144" s="109"/>
      <c r="F144" s="109"/>
      <c r="G144" s="109"/>
      <c r="H144" s="243"/>
    </row>
    <row r="145" spans="1:8" s="82" customFormat="1" x14ac:dyDescent="0.2">
      <c r="A145" s="128"/>
      <c r="B145" s="128"/>
      <c r="C145" s="128"/>
      <c r="D145" s="108"/>
      <c r="E145" s="311" t="s">
        <v>731</v>
      </c>
      <c r="F145" s="367">
        <f>F133</f>
        <v>-8.7999999999999995E-2</v>
      </c>
      <c r="G145" s="108" t="str">
        <f t="shared" ref="G145:G152" si="3">G81</f>
        <v>£m (2017-18 FYA CPIH prices)</v>
      </c>
      <c r="H145" s="304"/>
    </row>
    <row r="146" spans="1:8" s="82" customFormat="1" x14ac:dyDescent="0.2">
      <c r="A146" s="128"/>
      <c r="B146" s="128"/>
      <c r="C146" s="128"/>
      <c r="D146" s="108"/>
      <c r="E146" s="311" t="s">
        <v>732</v>
      </c>
      <c r="F146" s="367">
        <f t="shared" ref="F146:F152" si="4">F134</f>
        <v>-20.254644814182257</v>
      </c>
      <c r="G146" s="108" t="str">
        <f t="shared" si="3"/>
        <v>£m (2017-18 FYA CPIH prices)</v>
      </c>
      <c r="H146" s="304"/>
    </row>
    <row r="147" spans="1:8" s="82" customFormat="1" x14ac:dyDescent="0.2">
      <c r="A147" s="128"/>
      <c r="B147" s="128"/>
      <c r="C147" s="128"/>
      <c r="D147" s="108"/>
      <c r="E147" s="311" t="s">
        <v>733</v>
      </c>
      <c r="F147" s="367">
        <f t="shared" si="4"/>
        <v>-16.892210759495828</v>
      </c>
      <c r="G147" s="108" t="str">
        <f t="shared" si="3"/>
        <v>£m (2017-18 FYA CPIH prices)</v>
      </c>
      <c r="H147" s="304"/>
    </row>
    <row r="148" spans="1:8" s="82" customFormat="1" x14ac:dyDescent="0.2">
      <c r="A148" s="128"/>
      <c r="B148" s="128"/>
      <c r="C148" s="128"/>
      <c r="D148" s="108"/>
      <c r="E148" s="311" t="s">
        <v>734</v>
      </c>
      <c r="F148" s="367">
        <f t="shared" si="4"/>
        <v>0</v>
      </c>
      <c r="G148" s="108" t="str">
        <f t="shared" si="3"/>
        <v>£m (2017-18 FYA CPIH prices)</v>
      </c>
      <c r="H148" s="304"/>
    </row>
    <row r="149" spans="1:8" s="82" customFormat="1" x14ac:dyDescent="0.2">
      <c r="A149" s="128"/>
      <c r="B149" s="128"/>
      <c r="C149" s="128"/>
      <c r="D149" s="108"/>
      <c r="E149" s="311" t="s">
        <v>735</v>
      </c>
      <c r="F149" s="367">
        <f t="shared" si="4"/>
        <v>3.0909999999999997</v>
      </c>
      <c r="G149" s="108" t="str">
        <f t="shared" si="3"/>
        <v>£m (2017-18 FYA CPIH prices)</v>
      </c>
      <c r="H149" s="304"/>
    </row>
    <row r="150" spans="1:8" s="82" customFormat="1" x14ac:dyDescent="0.2">
      <c r="A150" s="128"/>
      <c r="B150" s="128"/>
      <c r="C150" s="128"/>
      <c r="D150" s="108"/>
      <c r="E150" s="311" t="s">
        <v>736</v>
      </c>
      <c r="F150" s="367">
        <f t="shared" si="4"/>
        <v>0</v>
      </c>
      <c r="G150" s="108" t="str">
        <f t="shared" si="3"/>
        <v>£m (2017-18 FYA CPIH prices)</v>
      </c>
      <c r="H150" s="304"/>
    </row>
    <row r="151" spans="1:8" s="82" customFormat="1" x14ac:dyDescent="0.2">
      <c r="A151" s="128"/>
      <c r="B151" s="128"/>
      <c r="C151" s="128"/>
      <c r="D151" s="108"/>
      <c r="E151" s="311" t="s">
        <v>737</v>
      </c>
      <c r="F151" s="367">
        <f t="shared" si="4"/>
        <v>0</v>
      </c>
      <c r="G151" s="108" t="str">
        <f t="shared" si="3"/>
        <v>£m (2017-18 FYA CPIH prices)</v>
      </c>
      <c r="H151" s="304"/>
    </row>
    <row r="152" spans="1:8" s="82" customFormat="1" x14ac:dyDescent="0.2">
      <c r="A152" s="128"/>
      <c r="B152" s="128"/>
      <c r="C152" s="128"/>
      <c r="D152" s="108"/>
      <c r="E152" s="311" t="s">
        <v>738</v>
      </c>
      <c r="F152" s="367">
        <f t="shared" si="4"/>
        <v>0</v>
      </c>
      <c r="G152" s="108" t="str">
        <f t="shared" si="3"/>
        <v>£m (2017-18 FYA CPIH prices)</v>
      </c>
      <c r="H152" s="304"/>
    </row>
    <row r="153" spans="1:8" s="374" customFormat="1" x14ac:dyDescent="0.2">
      <c r="A153" s="370"/>
      <c r="B153" s="370"/>
      <c r="C153" s="370"/>
      <c r="D153" s="370"/>
      <c r="E153" s="371" t="s">
        <v>740</v>
      </c>
      <c r="F153" s="372">
        <f xml:space="preserve"> SUM(F145:F152)</f>
        <v>-34.143855573678088</v>
      </c>
      <c r="G153" s="371" t="s">
        <v>727</v>
      </c>
      <c r="H153" s="373"/>
    </row>
    <row r="154" spans="1:8" x14ac:dyDescent="0.2"/>
    <row r="155" spans="1:8" s="208" customFormat="1" ht="13.5" x14ac:dyDescent="0.25">
      <c r="A155" s="208" t="s">
        <v>134</v>
      </c>
    </row>
    <row r="156" spans="1:8" x14ac:dyDescent="0.2"/>
    <row r="157" spans="1:8" x14ac:dyDescent="0.2"/>
    <row r="158" spans="1:8" x14ac:dyDescent="0.2"/>
    <row r="159" spans="1:8" x14ac:dyDescent="0.2"/>
    <row r="160" spans="1:8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</sheetData>
  <conditionalFormatting sqref="F9:F64 H63:H65 H67:H70 F71:F118 H119 H154">
    <cfRule type="cellIs" dxfId="57" priority="15" operator="equal">
      <formula>0</formula>
    </cfRule>
  </conditionalFormatting>
  <conditionalFormatting sqref="F123:F131">
    <cfRule type="cellIs" dxfId="56" priority="11" operator="equal">
      <formula>0</formula>
    </cfRule>
  </conditionalFormatting>
  <conditionalFormatting sqref="F145:F153">
    <cfRule type="cellIs" dxfId="55" priority="12" operator="equal">
      <formula>0</formula>
    </cfRule>
  </conditionalFormatting>
  <conditionalFormatting sqref="H132:H140">
    <cfRule type="cellIs" dxfId="54" priority="5" operator="equal">
      <formula>0</formula>
    </cfRule>
  </conditionalFormatting>
  <conditionalFormatting sqref="H143:H144">
    <cfRule type="cellIs" dxfId="53" priority="14" operator="equal">
      <formula>0</formula>
    </cfRule>
  </conditionalFormatting>
  <conditionalFormatting sqref="J3:V3">
    <cfRule type="cellIs" dxfId="52" priority="1" operator="equal">
      <formula>"Post-Fcst"</formula>
    </cfRule>
    <cfRule type="cellIs" dxfId="51" priority="2" operator="equal">
      <formula>"Post-Fcst Mod"</formula>
    </cfRule>
    <cfRule type="cellIs" dxfId="50" priority="3" operator="equal">
      <formula>"Forecast"</formula>
    </cfRule>
    <cfRule type="cellIs" dxfId="49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B07AB-FF69-4B90-BDBD-65C17D1EDCC6}">
  <sheetPr>
    <tabColor theme="5"/>
    <outlinePr summaryBelow="0" summaryRight="0"/>
    <pageSetUpPr fitToPage="1"/>
  </sheetPr>
  <dimension ref="A1:X69"/>
  <sheetViews>
    <sheetView showGridLines="0" zoomScale="80" zoomScaleNormal="80" workbookViewId="0">
      <pane xSplit="9" ySplit="5" topLeftCell="J6" activePane="bottomRight" state="frozen"/>
      <selection pane="topRight" activeCell="B4" sqref="B4"/>
      <selection pane="bottomLeft" activeCell="B4" sqref="B4"/>
      <selection pane="bottomRight"/>
    </sheetView>
  </sheetViews>
  <sheetFormatPr defaultColWidth="9.625" defaultRowHeight="12.75" zeroHeight="1" x14ac:dyDescent="0.2"/>
  <cols>
    <col min="1" max="1" width="1.625" style="96" customWidth="1"/>
    <col min="2" max="2" width="1.625" style="139" customWidth="1"/>
    <col min="3" max="3" width="1.625" style="98" customWidth="1"/>
    <col min="4" max="4" width="1.625" style="88" customWidth="1"/>
    <col min="5" max="5" width="50.625" style="88" customWidth="1"/>
    <col min="6" max="6" width="15.625" style="88" customWidth="1"/>
    <col min="7" max="7" width="30.625" style="88" customWidth="1"/>
    <col min="8" max="8" width="15.625" style="30" customWidth="1"/>
    <col min="9" max="9" width="2.625" style="30" customWidth="1"/>
    <col min="10" max="22" width="9.625" style="30" customWidth="1"/>
    <col min="23" max="16384" width="9.625" style="30"/>
  </cols>
  <sheetData>
    <row r="1" spans="1:24" s="103" customFormat="1" ht="44.25" x14ac:dyDescent="0.2">
      <c r="A1" s="132" t="str">
        <f ca="1" xml:space="preserve"> RIGHT(CELL("filename", $A$1), LEN(CELL("filename", $A$1)) - SEARCH("]", CELL("filename", $A$1)))</f>
        <v>Water resources</v>
      </c>
      <c r="B1" s="133"/>
      <c r="C1" s="134"/>
      <c r="D1" s="130"/>
      <c r="E1" s="130"/>
      <c r="F1" s="130"/>
      <c r="G1" s="130"/>
      <c r="H1" s="393" t="str">
        <f>InpActive!F9</f>
        <v>Anglian Water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4" customFormat="1" x14ac:dyDescent="0.2">
      <c r="A2" s="135"/>
      <c r="B2" s="136"/>
      <c r="C2" s="137"/>
      <c r="D2" s="138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19" customFormat="1" x14ac:dyDescent="0.2">
      <c r="A3" s="131"/>
      <c r="B3" s="136"/>
      <c r="C3" s="137"/>
      <c r="D3" s="138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8" customFormat="1" x14ac:dyDescent="0.2">
      <c r="A4" s="131"/>
      <c r="B4" s="136"/>
      <c r="C4" s="137"/>
      <c r="D4" s="138"/>
      <c r="E4" s="120" t="str">
        <f>Time!E$106</f>
        <v>Financial Year Ending</v>
      </c>
      <c r="F4" s="120"/>
      <c r="G4" s="120"/>
      <c r="H4" s="116"/>
      <c r="I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29" customFormat="1" x14ac:dyDescent="0.2">
      <c r="A5" s="131"/>
      <c r="B5" s="136"/>
      <c r="C5" s="137"/>
      <c r="D5" s="138"/>
      <c r="E5" s="120" t="str">
        <f>Time!E$10</f>
        <v>Model column counter</v>
      </c>
      <c r="F5" s="131" t="s">
        <v>532</v>
      </c>
      <c r="G5" s="131" t="s">
        <v>186</v>
      </c>
      <c r="H5" s="19" t="s">
        <v>533</v>
      </c>
      <c r="I5" s="24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29" customFormat="1" x14ac:dyDescent="0.2">
      <c r="A6" s="131"/>
      <c r="B6" s="136"/>
      <c r="C6" s="137"/>
      <c r="D6" s="138"/>
      <c r="E6" s="120"/>
      <c r="F6" s="131"/>
      <c r="G6" s="131"/>
      <c r="H6" s="19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209" customFormat="1" ht="13.5" x14ac:dyDescent="0.25">
      <c r="A7" s="209" t="s">
        <v>539</v>
      </c>
    </row>
    <row r="8" spans="1:24" s="154" customFormat="1" x14ac:dyDescent="0.2">
      <c r="A8" s="155"/>
      <c r="B8" s="156"/>
      <c r="C8" s="157"/>
    </row>
    <row r="9" spans="1:24" s="154" customFormat="1" x14ac:dyDescent="0.2">
      <c r="A9" s="155"/>
      <c r="B9" s="156" t="s">
        <v>741</v>
      </c>
      <c r="C9" s="157"/>
    </row>
    <row r="10" spans="1:24" s="295" customFormat="1" x14ac:dyDescent="0.2">
      <c r="A10" s="345"/>
      <c r="B10" s="346"/>
      <c r="E10" s="295" t="str">
        <f xml:space="preserve"> 'Abatements and deferrals'!E$145</f>
        <v>Payments after abatements and deferrals and other bespoke adjustments - water resources</v>
      </c>
      <c r="F10" s="295">
        <f xml:space="preserve"> 'Abatements and deferrals'!F$145</f>
        <v>-8.7999999999999995E-2</v>
      </c>
      <c r="G10" s="295" t="str">
        <f xml:space="preserve"> 'Abatements and deferrals'!G$145</f>
        <v>£m (2017-18 FYA CPIH prices)</v>
      </c>
      <c r="H10" s="295">
        <f xml:space="preserve"> 'Abatements and deferrals'!H$145</f>
        <v>0</v>
      </c>
      <c r="I10" s="295">
        <f xml:space="preserve"> 'Abatements and deferrals'!I$145</f>
        <v>0</v>
      </c>
    </row>
    <row r="11" spans="1:24" s="154" customFormat="1" x14ac:dyDescent="0.2">
      <c r="A11" s="155"/>
      <c r="B11" s="156"/>
      <c r="C11" s="157"/>
      <c r="E11" s="291"/>
      <c r="G11" s="291"/>
      <c r="H11" s="291"/>
    </row>
    <row r="12" spans="1:24" s="154" customFormat="1" x14ac:dyDescent="0.2">
      <c r="A12" s="155"/>
      <c r="B12" s="156" t="s">
        <v>742</v>
      </c>
      <c r="C12" s="157"/>
    </row>
    <row r="13" spans="1:24" s="154" customFormat="1" x14ac:dyDescent="0.2">
      <c r="A13" s="155"/>
      <c r="B13" s="156"/>
      <c r="C13" s="157"/>
    </row>
    <row r="14" spans="1:24" s="160" customFormat="1" x14ac:dyDescent="0.2">
      <c r="A14" s="158"/>
      <c r="B14" s="159"/>
      <c r="E14" s="295" t="str">
        <f xml:space="preserve"> InpActive!E$12</f>
        <v>Reporting year</v>
      </c>
      <c r="F14" s="295" t="str">
        <f xml:space="preserve"> InpActive!F$12</f>
        <v>2024-25</v>
      </c>
      <c r="G14" s="295" t="str">
        <f xml:space="preserve"> InpActive!G$12</f>
        <v>Financial year</v>
      </c>
    </row>
    <row r="15" spans="1:24" s="154" customFormat="1" x14ac:dyDescent="0.2">
      <c r="A15" s="155"/>
      <c r="B15" s="156"/>
      <c r="C15" s="157"/>
      <c r="E15" s="154" t="s">
        <v>743</v>
      </c>
      <c r="F15" s="215">
        <f>_xlfn.NUMBERVALUE(CONCATENATE(20,RIGHT(F14,2)))</f>
        <v>2025</v>
      </c>
    </row>
    <row r="16" spans="1:24" s="160" customFormat="1" x14ac:dyDescent="0.2">
      <c r="A16" s="158"/>
      <c r="B16" s="159"/>
      <c r="E16" s="171" t="str">
        <f xml:space="preserve"> Time!E$106</f>
        <v>Financial Year Ending</v>
      </c>
      <c r="F16" s="169">
        <f xml:space="preserve"> Time!F$106</f>
        <v>0</v>
      </c>
      <c r="G16" s="169" t="str">
        <f xml:space="preserve"> Time!G$106</f>
        <v>year #</v>
      </c>
      <c r="H16" s="169">
        <f xml:space="preserve"> Time!H$106</f>
        <v>0</v>
      </c>
      <c r="I16" s="169">
        <f xml:space="preserve"> Time!I$106</f>
        <v>0</v>
      </c>
      <c r="J16" s="214">
        <f xml:space="preserve"> Time!J$106</f>
        <v>2016</v>
      </c>
      <c r="K16" s="214">
        <f xml:space="preserve"> Time!K$106</f>
        <v>2017</v>
      </c>
      <c r="L16" s="214">
        <f xml:space="preserve"> Time!L$106</f>
        <v>2018</v>
      </c>
      <c r="M16" s="214">
        <f xml:space="preserve"> Time!M$106</f>
        <v>2019</v>
      </c>
      <c r="N16" s="214">
        <f xml:space="preserve"> Time!N$106</f>
        <v>2020</v>
      </c>
      <c r="O16" s="214">
        <f xml:space="preserve"> Time!O$106</f>
        <v>2021</v>
      </c>
      <c r="P16" s="214">
        <f xml:space="preserve"> Time!P$106</f>
        <v>2022</v>
      </c>
      <c r="Q16" s="214">
        <f xml:space="preserve"> Time!Q$106</f>
        <v>2023</v>
      </c>
      <c r="R16" s="214">
        <f xml:space="preserve"> Time!R$106</f>
        <v>2024</v>
      </c>
      <c r="S16" s="214">
        <f xml:space="preserve"> Time!S$106</f>
        <v>2025</v>
      </c>
      <c r="T16" s="214">
        <f xml:space="preserve"> Time!T$106</f>
        <v>2026</v>
      </c>
      <c r="U16" s="214">
        <f xml:space="preserve"> Time!U$106</f>
        <v>2027</v>
      </c>
      <c r="V16" s="214">
        <f xml:space="preserve"> Time!V$106</f>
        <v>2028</v>
      </c>
      <c r="W16" s="214">
        <f xml:space="preserve"> Time!W$106</f>
        <v>2029</v>
      </c>
      <c r="X16" s="214">
        <f xml:space="preserve"> Time!X$106</f>
        <v>2030</v>
      </c>
    </row>
    <row r="17" spans="1:24" s="154" customFormat="1" x14ac:dyDescent="0.2">
      <c r="A17" s="155"/>
      <c r="B17" s="156"/>
      <c r="C17" s="157"/>
      <c r="E17" s="154" t="s">
        <v>744</v>
      </c>
      <c r="G17" s="154" t="s">
        <v>644</v>
      </c>
      <c r="J17" s="170">
        <f xml:space="preserve"> IF( J16 = $F15, 1, 0 )</f>
        <v>0</v>
      </c>
      <c r="K17" s="170">
        <f t="shared" ref="K17:T17" si="0" xml:space="preserve"> IF( K16 = $F15, 1, 0 )</f>
        <v>0</v>
      </c>
      <c r="L17" s="170">
        <f t="shared" si="0"/>
        <v>0</v>
      </c>
      <c r="M17" s="170">
        <f t="shared" si="0"/>
        <v>0</v>
      </c>
      <c r="N17" s="170">
        <f t="shared" si="0"/>
        <v>0</v>
      </c>
      <c r="O17" s="170">
        <f xml:space="preserve"> IF( O16 = $F15, 1, 0 )</f>
        <v>0</v>
      </c>
      <c r="P17" s="170">
        <f t="shared" si="0"/>
        <v>0</v>
      </c>
      <c r="Q17" s="170">
        <f t="shared" si="0"/>
        <v>0</v>
      </c>
      <c r="R17" s="170">
        <f t="shared" si="0"/>
        <v>0</v>
      </c>
      <c r="S17" s="170">
        <f t="shared" si="0"/>
        <v>1</v>
      </c>
      <c r="T17" s="170">
        <f t="shared" si="0"/>
        <v>0</v>
      </c>
      <c r="U17" s="170">
        <f t="shared" ref="U17:V17" si="1" xml:space="preserve"> IF( U16 = $F15, 1, 0 )</f>
        <v>0</v>
      </c>
      <c r="V17" s="170">
        <f t="shared" si="1"/>
        <v>0</v>
      </c>
      <c r="W17" s="170">
        <f t="shared" ref="W17:X17" si="2" xml:space="preserve"> IF( W16 = $F15, 1, 0 )</f>
        <v>0</v>
      </c>
      <c r="X17" s="170">
        <f t="shared" si="2"/>
        <v>0</v>
      </c>
    </row>
    <row r="18" spans="1:24" s="154" customFormat="1" x14ac:dyDescent="0.2">
      <c r="A18" s="155"/>
      <c r="B18" s="156"/>
      <c r="C18" s="157"/>
      <c r="E18" s="154" t="s">
        <v>745</v>
      </c>
      <c r="G18" s="154" t="s">
        <v>644</v>
      </c>
      <c r="J18" s="170">
        <f xml:space="preserve"> IF( H17 = 1, 1, 0 )</f>
        <v>0</v>
      </c>
      <c r="K18" s="170">
        <f t="shared" ref="K18:X18" si="3" xml:space="preserve"> IF( I17 = 1, 1, 0 )</f>
        <v>0</v>
      </c>
      <c r="L18" s="170">
        <f t="shared" si="3"/>
        <v>0</v>
      </c>
      <c r="M18" s="170">
        <f t="shared" si="3"/>
        <v>0</v>
      </c>
      <c r="N18" s="170">
        <f t="shared" si="3"/>
        <v>0</v>
      </c>
      <c r="O18" s="170">
        <f t="shared" si="3"/>
        <v>0</v>
      </c>
      <c r="P18" s="170">
        <f t="shared" si="3"/>
        <v>0</v>
      </c>
      <c r="Q18" s="170">
        <f t="shared" si="3"/>
        <v>0</v>
      </c>
      <c r="R18" s="170">
        <f t="shared" si="3"/>
        <v>0</v>
      </c>
      <c r="S18" s="170">
        <f t="shared" si="3"/>
        <v>0</v>
      </c>
      <c r="T18" s="170">
        <f t="shared" si="3"/>
        <v>0</v>
      </c>
      <c r="U18" s="170">
        <f t="shared" si="3"/>
        <v>1</v>
      </c>
      <c r="V18" s="170">
        <f t="shared" si="3"/>
        <v>0</v>
      </c>
      <c r="W18" s="170">
        <f t="shared" si="3"/>
        <v>0</v>
      </c>
      <c r="X18" s="170">
        <f t="shared" si="3"/>
        <v>0</v>
      </c>
    </row>
    <row r="19" spans="1:24" s="154" customFormat="1" x14ac:dyDescent="0.2">
      <c r="A19" s="155"/>
      <c r="B19" s="156"/>
      <c r="C19" s="157"/>
    </row>
    <row r="20" spans="1:24" s="154" customFormat="1" x14ac:dyDescent="0.2">
      <c r="A20" s="155"/>
      <c r="B20" s="156"/>
      <c r="C20" s="157"/>
      <c r="E20" s="291" t="str">
        <f xml:space="preserve"> E10</f>
        <v>Payments after abatements and deferrals and other bespoke adjustments - water resources</v>
      </c>
      <c r="G20" s="291" t="str">
        <f xml:space="preserve"> G10</f>
        <v>£m (2017-18 FYA CPIH prices)</v>
      </c>
      <c r="J20" s="291">
        <f t="shared" ref="J20:T20" si="4" xml:space="preserve"> IF( J18 = 1, $F10, 0 )</f>
        <v>0</v>
      </c>
      <c r="K20" s="291">
        <f t="shared" si="4"/>
        <v>0</v>
      </c>
      <c r="L20" s="291">
        <f t="shared" si="4"/>
        <v>0</v>
      </c>
      <c r="M20" s="291">
        <f t="shared" si="4"/>
        <v>0</v>
      </c>
      <c r="N20" s="291">
        <f t="shared" si="4"/>
        <v>0</v>
      </c>
      <c r="O20" s="291">
        <f t="shared" si="4"/>
        <v>0</v>
      </c>
      <c r="P20" s="291">
        <f t="shared" si="4"/>
        <v>0</v>
      </c>
      <c r="Q20" s="291">
        <f t="shared" si="4"/>
        <v>0</v>
      </c>
      <c r="R20" s="291">
        <f t="shared" si="4"/>
        <v>0</v>
      </c>
      <c r="S20" s="291">
        <f t="shared" si="4"/>
        <v>0</v>
      </c>
      <c r="T20" s="291">
        <f t="shared" si="4"/>
        <v>0</v>
      </c>
      <c r="U20" s="291">
        <f t="shared" ref="U20:V20" si="5" xml:space="preserve"> IF( U18 = 1, $F10, 0 )</f>
        <v>-8.7999999999999995E-2</v>
      </c>
      <c r="V20" s="291">
        <f t="shared" si="5"/>
        <v>0</v>
      </c>
      <c r="W20" s="291">
        <f t="shared" ref="W20:X20" si="6" xml:space="preserve"> IF( W18 = 1, $F10, 0 )</f>
        <v>0</v>
      </c>
      <c r="X20" s="291">
        <f t="shared" si="6"/>
        <v>0</v>
      </c>
    </row>
    <row r="21" spans="1:24" s="154" customFormat="1" x14ac:dyDescent="0.2">
      <c r="A21" s="155"/>
      <c r="B21" s="156"/>
      <c r="C21" s="157"/>
    </row>
    <row r="22" spans="1:24" s="209" customFormat="1" ht="13.5" x14ac:dyDescent="0.25">
      <c r="A22" s="209" t="s">
        <v>746</v>
      </c>
    </row>
    <row r="23" spans="1:24" s="154" customFormat="1" x14ac:dyDescent="0.2">
      <c r="A23" s="155"/>
      <c r="B23" s="156"/>
      <c r="C23" s="157"/>
    </row>
    <row r="24" spans="1:24" s="154" customFormat="1" x14ac:dyDescent="0.2">
      <c r="A24" s="155"/>
      <c r="B24" s="156"/>
      <c r="E24" s="295" t="str">
        <f xml:space="preserve"> InpActive!E$114</f>
        <v>Allowed revenue starting point in FD24 - water resources</v>
      </c>
      <c r="F24" s="295">
        <f xml:space="preserve"> InpActive!F$114</f>
        <v>0</v>
      </c>
      <c r="G24" s="295" t="str">
        <f xml:space="preserve"> InpActive!G$114</f>
        <v>£m (nominal)</v>
      </c>
      <c r="H24" s="295">
        <f xml:space="preserve"> InpActive!H$114</f>
        <v>0</v>
      </c>
      <c r="I24" s="295">
        <f xml:space="preserve"> InpActive!I$114</f>
        <v>0</v>
      </c>
      <c r="J24" s="295">
        <f xml:space="preserve"> InpActive!J$114</f>
        <v>0</v>
      </c>
      <c r="K24" s="295">
        <f xml:space="preserve"> InpActive!K$114</f>
        <v>0</v>
      </c>
      <c r="L24" s="295">
        <f xml:space="preserve"> InpActive!L$114</f>
        <v>0</v>
      </c>
      <c r="M24" s="295">
        <f xml:space="preserve"> InpActive!M$114</f>
        <v>0</v>
      </c>
      <c r="N24" s="295">
        <f xml:space="preserve"> InpActive!N$114</f>
        <v>0</v>
      </c>
      <c r="O24" s="295">
        <f xml:space="preserve"> InpActive!O$114</f>
        <v>0</v>
      </c>
      <c r="P24" s="295">
        <f xml:space="preserve"> InpActive!P$114</f>
        <v>0</v>
      </c>
      <c r="Q24" s="295">
        <f xml:space="preserve"> InpActive!Q$114</f>
        <v>0</v>
      </c>
      <c r="R24" s="295">
        <f xml:space="preserve"> InpActive!R$114</f>
        <v>0</v>
      </c>
      <c r="S24" s="295">
        <f xml:space="preserve"> InpActive!S$114</f>
        <v>0</v>
      </c>
      <c r="T24" s="295">
        <f xml:space="preserve"> InpActive!T$114</f>
        <v>0</v>
      </c>
      <c r="U24" s="295">
        <f xml:space="preserve"> InpActive!U$114</f>
        <v>0</v>
      </c>
      <c r="V24" s="295">
        <f xml:space="preserve"> InpActive!V$114</f>
        <v>0</v>
      </c>
      <c r="W24" s="295">
        <f xml:space="preserve"> InpActive!W$114</f>
        <v>0</v>
      </c>
      <c r="X24" s="295">
        <f xml:space="preserve"> InpActive!X$114</f>
        <v>0</v>
      </c>
    </row>
    <row r="25" spans="1:24" s="154" customFormat="1" x14ac:dyDescent="0.2">
      <c r="A25" s="155"/>
      <c r="B25" s="156"/>
      <c r="E25" s="154" t="str">
        <f xml:space="preserve"> E24</f>
        <v>Allowed revenue starting point in FD24 - water resources</v>
      </c>
      <c r="H25" s="154">
        <f xml:space="preserve"> SUM( J24:T24 )</f>
        <v>0</v>
      </c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</row>
    <row r="26" spans="1:24" s="154" customFormat="1" x14ac:dyDescent="0.2">
      <c r="A26" s="155"/>
      <c r="B26" s="156"/>
      <c r="C26" s="157"/>
      <c r="E26" s="171" t="str">
        <f xml:space="preserve"> Time!E$45</f>
        <v>1st Forecast Period Flag</v>
      </c>
      <c r="F26" s="169">
        <f xml:space="preserve"> Time!F$45</f>
        <v>0</v>
      </c>
      <c r="G26" s="169" t="str">
        <f xml:space="preserve"> Time!G$45</f>
        <v>flag</v>
      </c>
      <c r="H26" s="169">
        <f xml:space="preserve"> Time!H$45</f>
        <v>1</v>
      </c>
      <c r="I26" s="169">
        <f xml:space="preserve"> Time!I$45</f>
        <v>0</v>
      </c>
      <c r="J26" s="169">
        <f xml:space="preserve"> Time!J$45</f>
        <v>0</v>
      </c>
      <c r="K26" s="169">
        <f xml:space="preserve"> Time!K$45</f>
        <v>0</v>
      </c>
      <c r="L26" s="169">
        <f xml:space="preserve"> Time!L$45</f>
        <v>0</v>
      </c>
      <c r="M26" s="169">
        <f xml:space="preserve"> Time!M$45</f>
        <v>0</v>
      </c>
      <c r="N26" s="169">
        <f xml:space="preserve"> Time!N$45</f>
        <v>0</v>
      </c>
      <c r="O26" s="169">
        <f xml:space="preserve"> Time!O$45</f>
        <v>0</v>
      </c>
      <c r="P26" s="169">
        <f xml:space="preserve"> Time!P$45</f>
        <v>0</v>
      </c>
      <c r="Q26" s="169">
        <f xml:space="preserve"> Time!Q$45</f>
        <v>0</v>
      </c>
      <c r="R26" s="169">
        <f xml:space="preserve"> Time!R$45</f>
        <v>0</v>
      </c>
      <c r="S26" s="169">
        <f xml:space="preserve"> Time!S$45</f>
        <v>0</v>
      </c>
      <c r="T26" s="169">
        <f xml:space="preserve"> Time!T$45</f>
        <v>1</v>
      </c>
      <c r="U26" s="169">
        <f xml:space="preserve"> Time!U$45</f>
        <v>0</v>
      </c>
      <c r="V26" s="169">
        <f xml:space="preserve"> Time!V$45</f>
        <v>0</v>
      </c>
      <c r="W26" s="169">
        <f xml:space="preserve"> Time!W$45</f>
        <v>0</v>
      </c>
      <c r="X26" s="169">
        <f xml:space="preserve"> Time!X$45</f>
        <v>0</v>
      </c>
    </row>
    <row r="27" spans="1:24" s="154" customFormat="1" x14ac:dyDescent="0.2">
      <c r="A27" s="155"/>
      <c r="B27" s="156"/>
      <c r="E27" s="313" t="str">
        <f xml:space="preserve"> InpActive!E$115</f>
        <v>K factors (last determined) - water resources</v>
      </c>
      <c r="F27" s="313">
        <f xml:space="preserve"> InpActive!F$115</f>
        <v>0</v>
      </c>
      <c r="G27" s="313" t="str">
        <f xml:space="preserve"> InpActive!G$115</f>
        <v>Number</v>
      </c>
      <c r="H27" s="313">
        <f xml:space="preserve"> InpActive!H$115</f>
        <v>0</v>
      </c>
      <c r="I27" s="313">
        <f xml:space="preserve"> InpActive!I$115</f>
        <v>0</v>
      </c>
      <c r="J27" s="295">
        <f xml:space="preserve"> InpActive!J$115</f>
        <v>0</v>
      </c>
      <c r="K27" s="295">
        <f xml:space="preserve"> InpActive!K$115</f>
        <v>0</v>
      </c>
      <c r="L27" s="295">
        <f xml:space="preserve"> InpActive!L$115</f>
        <v>0</v>
      </c>
      <c r="M27" s="295">
        <f xml:space="preserve"> InpActive!M$115</f>
        <v>0</v>
      </c>
      <c r="N27" s="295">
        <f xml:space="preserve"> InpActive!N$115</f>
        <v>0</v>
      </c>
      <c r="O27" s="295">
        <f xml:space="preserve"> InpActive!O$115</f>
        <v>0</v>
      </c>
      <c r="P27" s="295">
        <f xml:space="preserve"> InpActive!P$115</f>
        <v>0</v>
      </c>
      <c r="Q27" s="295">
        <f xml:space="preserve"> InpActive!Q$115</f>
        <v>0</v>
      </c>
      <c r="R27" s="295">
        <f xml:space="preserve"> InpActive!R$115</f>
        <v>0</v>
      </c>
      <c r="S27" s="295">
        <f xml:space="preserve"> InpActive!S$115</f>
        <v>0</v>
      </c>
      <c r="T27" s="295">
        <f xml:space="preserve"> InpActive!T$115</f>
        <v>0</v>
      </c>
      <c r="U27" s="295">
        <f xml:space="preserve"> InpActive!U$115</f>
        <v>0</v>
      </c>
      <c r="V27" s="295">
        <f xml:space="preserve"> InpActive!V$115</f>
        <v>0</v>
      </c>
      <c r="W27" s="295">
        <f xml:space="preserve"> InpActive!W$115</f>
        <v>0</v>
      </c>
      <c r="X27" s="295">
        <f xml:space="preserve"> InpActive!X$115</f>
        <v>0</v>
      </c>
    </row>
    <row r="28" spans="1:24" s="154" customFormat="1" x14ac:dyDescent="0.2">
      <c r="A28" s="155"/>
      <c r="B28" s="156"/>
      <c r="E28" s="222" t="s">
        <v>747</v>
      </c>
      <c r="F28" s="222"/>
      <c r="G28" s="222" t="s">
        <v>583</v>
      </c>
      <c r="H28" s="222"/>
      <c r="I28" s="222"/>
      <c r="J28" s="95">
        <f>J27/100</f>
        <v>0</v>
      </c>
      <c r="K28" s="95">
        <f t="shared" ref="K28:T28" si="7">K27/100</f>
        <v>0</v>
      </c>
      <c r="L28" s="95">
        <f t="shared" si="7"/>
        <v>0</v>
      </c>
      <c r="M28" s="95">
        <f t="shared" si="7"/>
        <v>0</v>
      </c>
      <c r="N28" s="95">
        <f t="shared" si="7"/>
        <v>0</v>
      </c>
      <c r="O28" s="95">
        <f t="shared" si="7"/>
        <v>0</v>
      </c>
      <c r="P28" s="95">
        <f t="shared" si="7"/>
        <v>0</v>
      </c>
      <c r="Q28" s="95">
        <f t="shared" si="7"/>
        <v>0</v>
      </c>
      <c r="R28" s="95">
        <f t="shared" si="7"/>
        <v>0</v>
      </c>
      <c r="S28" s="95">
        <f t="shared" si="7"/>
        <v>0</v>
      </c>
      <c r="T28" s="95">
        <f t="shared" si="7"/>
        <v>0</v>
      </c>
      <c r="U28" s="95">
        <f t="shared" ref="U28:V28" si="8">U27/100</f>
        <v>0</v>
      </c>
      <c r="V28" s="95">
        <f t="shared" si="8"/>
        <v>0</v>
      </c>
      <c r="W28" s="95">
        <f t="shared" ref="W28:X28" si="9">W27/100</f>
        <v>0</v>
      </c>
      <c r="X28" s="95">
        <f t="shared" si="9"/>
        <v>0</v>
      </c>
    </row>
    <row r="29" spans="1:24" s="160" customFormat="1" x14ac:dyDescent="0.2">
      <c r="A29" s="158"/>
      <c r="B29" s="159"/>
      <c r="E29" s="298" t="str">
        <f xml:space="preserve"> Index!E$12</f>
        <v>November CPIH annual inflation figures</v>
      </c>
      <c r="F29" s="298">
        <f xml:space="preserve"> Index!F$12</f>
        <v>0</v>
      </c>
      <c r="G29" s="298" t="str">
        <f xml:space="preserve"> Index!G$12</f>
        <v>Percentage</v>
      </c>
      <c r="H29" s="298">
        <f xml:space="preserve"> Index!H$12</f>
        <v>0</v>
      </c>
      <c r="I29" s="298">
        <f xml:space="preserve"> Index!I$12</f>
        <v>0</v>
      </c>
      <c r="J29" s="298">
        <f xml:space="preserve"> Index!J$12</f>
        <v>0</v>
      </c>
      <c r="K29" s="298">
        <f xml:space="preserve"> Index!K$12</f>
        <v>0</v>
      </c>
      <c r="L29" s="298">
        <f xml:space="preserve"> Index!L$12</f>
        <v>1.4955134596211339E-2</v>
      </c>
      <c r="M29" s="298">
        <f xml:space="preserve"> Index!M$12</f>
        <v>0</v>
      </c>
      <c r="N29" s="298">
        <f xml:space="preserve"> Index!N$12</f>
        <v>0</v>
      </c>
      <c r="O29" s="298">
        <f xml:space="preserve"> Index!O$12</f>
        <v>0</v>
      </c>
      <c r="P29" s="298">
        <f xml:space="preserve"> Index!P$12</f>
        <v>0</v>
      </c>
      <c r="Q29" s="298">
        <f xml:space="preserve"> Index!Q$12</f>
        <v>0</v>
      </c>
      <c r="R29" s="298">
        <f xml:space="preserve"> Index!R$12</f>
        <v>0</v>
      </c>
      <c r="S29" s="298">
        <f xml:space="preserve"> Index!S$12</f>
        <v>0</v>
      </c>
      <c r="T29" s="298">
        <f xml:space="preserve"> Index!T$12</f>
        <v>0</v>
      </c>
      <c r="U29" s="298">
        <f xml:space="preserve"> Index!U$12</f>
        <v>0</v>
      </c>
      <c r="V29" s="298">
        <f xml:space="preserve"> Index!V$12</f>
        <v>0</v>
      </c>
      <c r="W29" s="298">
        <f xml:space="preserve"> Index!W$12</f>
        <v>0</v>
      </c>
      <c r="X29" s="298">
        <f xml:space="preserve"> Index!X$12</f>
        <v>0</v>
      </c>
    </row>
    <row r="30" spans="1:24" s="154" customFormat="1" x14ac:dyDescent="0.2">
      <c r="A30" s="155"/>
      <c r="B30" s="156"/>
      <c r="E30" s="154" t="s">
        <v>748</v>
      </c>
      <c r="G30" s="154" t="s">
        <v>602</v>
      </c>
      <c r="H30" s="154">
        <f xml:space="preserve"> SUM( J30:T30 )</f>
        <v>0</v>
      </c>
      <c r="J30" s="154">
        <f xml:space="preserve"> IF(J26=1, $H25 * (1+J29+J28), I30 *  (1+J29+J28))</f>
        <v>0</v>
      </c>
      <c r="K30" s="154">
        <f t="shared" ref="K30:X30" si="10" xml:space="preserve"> IF(K26=1, $H25 * (1+K29+K28), J30 *  (1+K29+K28))</f>
        <v>0</v>
      </c>
      <c r="L30" s="154">
        <f t="shared" si="10"/>
        <v>0</v>
      </c>
      <c r="M30" s="154">
        <f t="shared" si="10"/>
        <v>0</v>
      </c>
      <c r="N30" s="154">
        <f t="shared" si="10"/>
        <v>0</v>
      </c>
      <c r="O30" s="154">
        <f t="shared" si="10"/>
        <v>0</v>
      </c>
      <c r="P30" s="154">
        <f xml:space="preserve"> IF(P26=1, $H25 * (1+P29+P28), O30 *  (1+P29+P28))</f>
        <v>0</v>
      </c>
      <c r="Q30" s="154">
        <f xml:space="preserve"> IF(Q26=1, $H25 * (1+Q29+Q28), P30 *  (1+Q29+Q28))</f>
        <v>0</v>
      </c>
      <c r="R30" s="154">
        <f t="shared" si="10"/>
        <v>0</v>
      </c>
      <c r="S30" s="154">
        <f t="shared" si="10"/>
        <v>0</v>
      </c>
      <c r="T30" s="154">
        <f xml:space="preserve"> IF(T26=1, $H25 * (1+T29+T28), S30 *  (1+T29+T28))</f>
        <v>0</v>
      </c>
      <c r="U30" s="154">
        <f t="shared" si="10"/>
        <v>0</v>
      </c>
      <c r="V30" s="154">
        <f t="shared" si="10"/>
        <v>0</v>
      </c>
      <c r="W30" s="154">
        <f t="shared" si="10"/>
        <v>0</v>
      </c>
      <c r="X30" s="154">
        <f t="shared" si="10"/>
        <v>0</v>
      </c>
    </row>
    <row r="31" spans="1:24" s="154" customFormat="1" x14ac:dyDescent="0.2">
      <c r="A31" s="155"/>
      <c r="B31" s="156"/>
      <c r="C31" s="157"/>
    </row>
    <row r="32" spans="1:24" s="154" customFormat="1" x14ac:dyDescent="0.2">
      <c r="A32" s="155"/>
      <c r="B32" s="156" t="s">
        <v>749</v>
      </c>
      <c r="C32" s="157"/>
    </row>
    <row r="33" spans="1:24" s="154" customFormat="1" x14ac:dyDescent="0.2">
      <c r="A33" s="155"/>
      <c r="B33" s="156"/>
      <c r="E33" s="154" t="str">
        <f xml:space="preserve"> E$20</f>
        <v>Payments after abatements and deferrals and other bespoke adjustments - water resources</v>
      </c>
      <c r="F33" s="154">
        <f t="shared" ref="F33:X33" si="11" xml:space="preserve"> F$20</f>
        <v>0</v>
      </c>
      <c r="G33" s="154" t="str">
        <f t="shared" si="11"/>
        <v>£m (2017-18 FYA CPIH prices)</v>
      </c>
      <c r="H33" s="154">
        <f t="shared" si="11"/>
        <v>0</v>
      </c>
      <c r="I33" s="154">
        <f t="shared" si="11"/>
        <v>0</v>
      </c>
      <c r="J33" s="154">
        <f t="shared" si="11"/>
        <v>0</v>
      </c>
      <c r="K33" s="154">
        <f t="shared" si="11"/>
        <v>0</v>
      </c>
      <c r="L33" s="154">
        <f t="shared" si="11"/>
        <v>0</v>
      </c>
      <c r="M33" s="154">
        <f t="shared" si="11"/>
        <v>0</v>
      </c>
      <c r="N33" s="154">
        <f t="shared" si="11"/>
        <v>0</v>
      </c>
      <c r="O33" s="154">
        <f t="shared" si="11"/>
        <v>0</v>
      </c>
      <c r="P33" s="154">
        <f t="shared" si="11"/>
        <v>0</v>
      </c>
      <c r="Q33" s="154">
        <f t="shared" si="11"/>
        <v>0</v>
      </c>
      <c r="R33" s="154">
        <f t="shared" si="11"/>
        <v>0</v>
      </c>
      <c r="S33" s="154">
        <f t="shared" si="11"/>
        <v>0</v>
      </c>
      <c r="T33" s="154">
        <f t="shared" si="11"/>
        <v>0</v>
      </c>
      <c r="U33" s="154">
        <f t="shared" si="11"/>
        <v>-8.7999999999999995E-2</v>
      </c>
      <c r="V33" s="154">
        <f t="shared" si="11"/>
        <v>0</v>
      </c>
      <c r="W33" s="154">
        <f t="shared" si="11"/>
        <v>0</v>
      </c>
      <c r="X33" s="154">
        <f t="shared" si="11"/>
        <v>0</v>
      </c>
    </row>
    <row r="34" spans="1:24" s="160" customFormat="1" x14ac:dyDescent="0.2">
      <c r="A34" s="158"/>
      <c r="B34" s="159"/>
      <c r="E34" s="298" t="str">
        <f xml:space="preserve"> Index!E$16</f>
        <v>November CPIH cumulative inflation factor</v>
      </c>
      <c r="F34" s="298">
        <f xml:space="preserve"> Index!F$16</f>
        <v>0</v>
      </c>
      <c r="G34" s="298" t="str">
        <f xml:space="preserve"> Index!G$16</f>
        <v>Percentage</v>
      </c>
      <c r="H34" s="298">
        <f xml:space="preserve"> Index!H$16</f>
        <v>0</v>
      </c>
      <c r="I34" s="298">
        <f xml:space="preserve"> Index!I$16</f>
        <v>0</v>
      </c>
      <c r="J34" s="298">
        <f xml:space="preserve"> Index!J$16</f>
        <v>0</v>
      </c>
      <c r="K34" s="298">
        <f xml:space="preserve"> Index!K$16</f>
        <v>0</v>
      </c>
      <c r="L34" s="298">
        <f xml:space="preserve"> Index!L$16</f>
        <v>1</v>
      </c>
      <c r="M34" s="298">
        <f xml:space="preserve"> Index!M$16</f>
        <v>1</v>
      </c>
      <c r="N34" s="298">
        <f xml:space="preserve"> Index!N$16</f>
        <v>1</v>
      </c>
      <c r="O34" s="298">
        <f xml:space="preserve"> Index!O$16</f>
        <v>1</v>
      </c>
      <c r="P34" s="298">
        <f xml:space="preserve"> Index!P$16</f>
        <v>1</v>
      </c>
      <c r="Q34" s="298">
        <f xml:space="preserve"> Index!Q$16</f>
        <v>1</v>
      </c>
      <c r="R34" s="298">
        <f xml:space="preserve"> Index!R$16</f>
        <v>1</v>
      </c>
      <c r="S34" s="298">
        <f xml:space="preserve"> Index!S$16</f>
        <v>1</v>
      </c>
      <c r="T34" s="298">
        <f xml:space="preserve"> Index!T$16</f>
        <v>1</v>
      </c>
      <c r="U34" s="298">
        <f xml:space="preserve"> Index!U$16</f>
        <v>1</v>
      </c>
      <c r="V34" s="298">
        <f xml:space="preserve"> Index!V$16</f>
        <v>1</v>
      </c>
      <c r="W34" s="298">
        <f xml:space="preserve"> Index!W$16</f>
        <v>1</v>
      </c>
      <c r="X34" s="298">
        <f xml:space="preserve"> Index!X$16</f>
        <v>1</v>
      </c>
    </row>
    <row r="35" spans="1:24" s="154" customFormat="1" x14ac:dyDescent="0.2">
      <c r="A35" s="155"/>
      <c r="B35" s="156"/>
      <c r="C35" s="157"/>
      <c r="E35" s="154" t="s">
        <v>750</v>
      </c>
      <c r="G35" s="154" t="s">
        <v>602</v>
      </c>
      <c r="H35" s="154">
        <f xml:space="preserve"> SUM( J35:T35 )</f>
        <v>0</v>
      </c>
      <c r="J35" s="154">
        <f t="shared" ref="J35:P35" si="12" xml:space="preserve"> J33 * J34</f>
        <v>0</v>
      </c>
      <c r="K35" s="154">
        <f t="shared" si="12"/>
        <v>0</v>
      </c>
      <c r="L35" s="154">
        <f t="shared" si="12"/>
        <v>0</v>
      </c>
      <c r="M35" s="154">
        <f t="shared" si="12"/>
        <v>0</v>
      </c>
      <c r="N35" s="154">
        <f t="shared" si="12"/>
        <v>0</v>
      </c>
      <c r="O35" s="154">
        <f t="shared" si="12"/>
        <v>0</v>
      </c>
      <c r="P35" s="154">
        <f t="shared" si="12"/>
        <v>0</v>
      </c>
      <c r="Q35" s="154">
        <f t="shared" ref="Q35:V35" si="13" xml:space="preserve"> Q33 * Q34</f>
        <v>0</v>
      </c>
      <c r="R35" s="154">
        <f t="shared" si="13"/>
        <v>0</v>
      </c>
      <c r="S35" s="154">
        <f t="shared" si="13"/>
        <v>0</v>
      </c>
      <c r="T35" s="154">
        <f t="shared" si="13"/>
        <v>0</v>
      </c>
      <c r="U35" s="154">
        <f t="shared" si="13"/>
        <v>-8.7999999999999995E-2</v>
      </c>
      <c r="V35" s="154">
        <f t="shared" si="13"/>
        <v>0</v>
      </c>
      <c r="W35" s="154">
        <f t="shared" ref="W35:X35" si="14" xml:space="preserve"> W33 * W34</f>
        <v>0</v>
      </c>
      <c r="X35" s="154">
        <f t="shared" si="14"/>
        <v>0</v>
      </c>
    </row>
    <row r="36" spans="1:24" s="154" customFormat="1" x14ac:dyDescent="0.2">
      <c r="A36" s="155"/>
      <c r="B36" s="156"/>
      <c r="C36" s="157"/>
    </row>
    <row r="37" spans="1:24" s="154" customFormat="1" x14ac:dyDescent="0.2">
      <c r="A37" s="155"/>
      <c r="B37" s="156" t="s">
        <v>751</v>
      </c>
      <c r="C37" s="157"/>
    </row>
    <row r="38" spans="1:24" s="160" customFormat="1" x14ac:dyDescent="0.2">
      <c r="A38" s="158"/>
      <c r="B38" s="156"/>
      <c r="E38" s="298" t="str">
        <f xml:space="preserve"> InpActive!E$90</f>
        <v>Marginal tax rate</v>
      </c>
      <c r="F38" s="298">
        <f xml:space="preserve"> InpActive!F$90</f>
        <v>0</v>
      </c>
      <c r="G38" s="298" t="str">
        <f xml:space="preserve"> InpActive!G$90</f>
        <v>Percentage</v>
      </c>
      <c r="H38" s="298">
        <f xml:space="preserve"> InpActive!H$90</f>
        <v>0</v>
      </c>
      <c r="I38" s="298">
        <f xml:space="preserve"> InpActive!I$90</f>
        <v>0</v>
      </c>
      <c r="J38" s="298">
        <f xml:space="preserve"> InpActive!J$90</f>
        <v>0</v>
      </c>
      <c r="K38" s="298">
        <f xml:space="preserve"> InpActive!K$90</f>
        <v>0</v>
      </c>
      <c r="L38" s="298">
        <f xml:space="preserve"> InpActive!L$90</f>
        <v>0</v>
      </c>
      <c r="M38" s="298">
        <f xml:space="preserve"> InpActive!M$90</f>
        <v>0</v>
      </c>
      <c r="N38" s="298">
        <f xml:space="preserve"> InpActive!N$90</f>
        <v>0</v>
      </c>
      <c r="O38" s="298">
        <f xml:space="preserve"> InpActive!O$90</f>
        <v>0</v>
      </c>
      <c r="P38" s="298">
        <f xml:space="preserve"> InpActive!P$90</f>
        <v>0</v>
      </c>
      <c r="Q38" s="298">
        <f xml:space="preserve"> InpActive!Q$90</f>
        <v>0</v>
      </c>
      <c r="R38" s="298">
        <f xml:space="preserve"> InpActive!R$90</f>
        <v>0</v>
      </c>
      <c r="S38" s="298">
        <f xml:space="preserve"> InpActive!S$90</f>
        <v>0</v>
      </c>
      <c r="T38" s="298">
        <f xml:space="preserve"> InpActive!T$90</f>
        <v>0</v>
      </c>
      <c r="U38" s="298">
        <f xml:space="preserve"> InpActive!U$90</f>
        <v>0</v>
      </c>
      <c r="V38" s="298">
        <f xml:space="preserve"> InpActive!V$90</f>
        <v>0</v>
      </c>
      <c r="W38" s="298">
        <f xml:space="preserve"> InpActive!W$90</f>
        <v>0</v>
      </c>
      <c r="X38" s="298">
        <f xml:space="preserve"> InpActive!X$90</f>
        <v>0</v>
      </c>
    </row>
    <row r="39" spans="1:24" s="95" customFormat="1" x14ac:dyDescent="0.2">
      <c r="A39" s="194"/>
      <c r="B39" s="195"/>
      <c r="E39" s="95" t="s">
        <v>752</v>
      </c>
      <c r="G39" s="95" t="s">
        <v>583</v>
      </c>
      <c r="J39" s="95">
        <f xml:space="preserve"> 1 / (1 - J38 ) - 1</f>
        <v>0</v>
      </c>
      <c r="K39" s="95">
        <f t="shared" ref="K39:T39" si="15" xml:space="preserve"> 1 / (1 - K38 ) - 1</f>
        <v>0</v>
      </c>
      <c r="L39" s="95">
        <f t="shared" si="15"/>
        <v>0</v>
      </c>
      <c r="M39" s="95">
        <f t="shared" si="15"/>
        <v>0</v>
      </c>
      <c r="N39" s="95">
        <f t="shared" si="15"/>
        <v>0</v>
      </c>
      <c r="O39" s="95">
        <f t="shared" si="15"/>
        <v>0</v>
      </c>
      <c r="P39" s="95">
        <f t="shared" si="15"/>
        <v>0</v>
      </c>
      <c r="Q39" s="95">
        <f t="shared" si="15"/>
        <v>0</v>
      </c>
      <c r="R39" s="95">
        <f t="shared" si="15"/>
        <v>0</v>
      </c>
      <c r="S39" s="95">
        <f t="shared" si="15"/>
        <v>0</v>
      </c>
      <c r="T39" s="95">
        <f t="shared" si="15"/>
        <v>0</v>
      </c>
      <c r="U39" s="95">
        <f t="shared" ref="U39:V39" si="16" xml:space="preserve"> 1 / (1 - U38 ) - 1</f>
        <v>0</v>
      </c>
      <c r="V39" s="95">
        <f t="shared" si="16"/>
        <v>0</v>
      </c>
      <c r="W39" s="95">
        <f t="shared" ref="W39:X39" si="17" xml:space="preserve"> 1 / (1 - W38 ) - 1</f>
        <v>0</v>
      </c>
      <c r="X39" s="95">
        <f t="shared" si="17"/>
        <v>0</v>
      </c>
    </row>
    <row r="40" spans="1:24" s="154" customFormat="1" x14ac:dyDescent="0.2">
      <c r="A40" s="155"/>
      <c r="B40" s="156"/>
      <c r="C40" s="157"/>
    </row>
    <row r="41" spans="1:24" s="154" customFormat="1" x14ac:dyDescent="0.2">
      <c r="A41" s="155"/>
      <c r="B41" s="156"/>
      <c r="C41" s="157"/>
      <c r="E41" s="154" t="str">
        <f t="shared" ref="E41:X41" si="18" xml:space="preserve"> E$35</f>
        <v>ODI value nominal prices</v>
      </c>
      <c r="F41" s="154">
        <f t="shared" si="18"/>
        <v>0</v>
      </c>
      <c r="G41" s="154" t="str">
        <f t="shared" si="18"/>
        <v>£m (nominal)</v>
      </c>
      <c r="H41" s="154">
        <f t="shared" si="18"/>
        <v>0</v>
      </c>
      <c r="I41" s="154">
        <f t="shared" si="18"/>
        <v>0</v>
      </c>
      <c r="J41" s="154">
        <f t="shared" si="18"/>
        <v>0</v>
      </c>
      <c r="K41" s="154">
        <f t="shared" si="18"/>
        <v>0</v>
      </c>
      <c r="L41" s="154">
        <f t="shared" si="18"/>
        <v>0</v>
      </c>
      <c r="M41" s="154">
        <f t="shared" si="18"/>
        <v>0</v>
      </c>
      <c r="N41" s="154">
        <f t="shared" si="18"/>
        <v>0</v>
      </c>
      <c r="O41" s="154">
        <f t="shared" si="18"/>
        <v>0</v>
      </c>
      <c r="P41" s="154">
        <f t="shared" si="18"/>
        <v>0</v>
      </c>
      <c r="Q41" s="154">
        <f t="shared" si="18"/>
        <v>0</v>
      </c>
      <c r="R41" s="154">
        <f t="shared" si="18"/>
        <v>0</v>
      </c>
      <c r="S41" s="154">
        <f t="shared" si="18"/>
        <v>0</v>
      </c>
      <c r="T41" s="154">
        <f t="shared" si="18"/>
        <v>0</v>
      </c>
      <c r="U41" s="154">
        <f t="shared" si="18"/>
        <v>-8.7999999999999995E-2</v>
      </c>
      <c r="V41" s="154">
        <f t="shared" si="18"/>
        <v>0</v>
      </c>
      <c r="W41" s="154">
        <f t="shared" si="18"/>
        <v>0</v>
      </c>
      <c r="X41" s="154">
        <f t="shared" si="18"/>
        <v>0</v>
      </c>
    </row>
    <row r="42" spans="1:24" s="95" customFormat="1" x14ac:dyDescent="0.2">
      <c r="A42" s="194"/>
      <c r="B42" s="195"/>
      <c r="E42" s="95" t="str">
        <f t="shared" ref="E42:X42" si="19" xml:space="preserve"> E$39</f>
        <v>Tax on Tax geometric uplift</v>
      </c>
      <c r="F42" s="95">
        <f t="shared" si="19"/>
        <v>0</v>
      </c>
      <c r="G42" s="95" t="str">
        <f t="shared" si="19"/>
        <v>Percentage</v>
      </c>
      <c r="H42" s="95">
        <f t="shared" si="19"/>
        <v>0</v>
      </c>
      <c r="I42" s="95">
        <f t="shared" si="19"/>
        <v>0</v>
      </c>
      <c r="J42" s="95">
        <f t="shared" si="19"/>
        <v>0</v>
      </c>
      <c r="K42" s="95">
        <f t="shared" si="19"/>
        <v>0</v>
      </c>
      <c r="L42" s="95">
        <f t="shared" si="19"/>
        <v>0</v>
      </c>
      <c r="M42" s="95">
        <f t="shared" si="19"/>
        <v>0</v>
      </c>
      <c r="N42" s="95">
        <f t="shared" si="19"/>
        <v>0</v>
      </c>
      <c r="O42" s="95">
        <f t="shared" si="19"/>
        <v>0</v>
      </c>
      <c r="P42" s="95">
        <f t="shared" si="19"/>
        <v>0</v>
      </c>
      <c r="Q42" s="95">
        <f t="shared" si="19"/>
        <v>0</v>
      </c>
      <c r="R42" s="95">
        <f t="shared" si="19"/>
        <v>0</v>
      </c>
      <c r="S42" s="95">
        <f t="shared" si="19"/>
        <v>0</v>
      </c>
      <c r="T42" s="95">
        <f t="shared" si="19"/>
        <v>0</v>
      </c>
      <c r="U42" s="95">
        <f t="shared" si="19"/>
        <v>0</v>
      </c>
      <c r="V42" s="95">
        <f t="shared" si="19"/>
        <v>0</v>
      </c>
      <c r="W42" s="95">
        <f t="shared" si="19"/>
        <v>0</v>
      </c>
      <c r="X42" s="95">
        <f t="shared" si="19"/>
        <v>0</v>
      </c>
    </row>
    <row r="43" spans="1:24" s="154" customFormat="1" x14ac:dyDescent="0.2">
      <c r="A43" s="155"/>
      <c r="B43" s="156"/>
      <c r="C43" s="157"/>
      <c r="E43" s="154" t="s">
        <v>753</v>
      </c>
      <c r="G43" s="154" t="s">
        <v>602</v>
      </c>
      <c r="H43" s="154">
        <f xml:space="preserve"> SUM( J43:T43 )</f>
        <v>0</v>
      </c>
      <c r="J43" s="154">
        <f t="shared" ref="J43:T43" si="20" xml:space="preserve"> J41 * J42</f>
        <v>0</v>
      </c>
      <c r="K43" s="154">
        <f t="shared" si="20"/>
        <v>0</v>
      </c>
      <c r="L43" s="154">
        <f t="shared" si="20"/>
        <v>0</v>
      </c>
      <c r="M43" s="154">
        <f t="shared" si="20"/>
        <v>0</v>
      </c>
      <c r="N43" s="154">
        <f t="shared" si="20"/>
        <v>0</v>
      </c>
      <c r="O43" s="154">
        <f t="shared" si="20"/>
        <v>0</v>
      </c>
      <c r="P43" s="154">
        <f t="shared" si="20"/>
        <v>0</v>
      </c>
      <c r="Q43" s="154">
        <f t="shared" si="20"/>
        <v>0</v>
      </c>
      <c r="R43" s="154">
        <f t="shared" si="20"/>
        <v>0</v>
      </c>
      <c r="S43" s="154">
        <f t="shared" si="20"/>
        <v>0</v>
      </c>
      <c r="T43" s="154">
        <f t="shared" si="20"/>
        <v>0</v>
      </c>
      <c r="U43" s="154">
        <f t="shared" ref="U43:V43" si="21" xml:space="preserve"> U41 * U42</f>
        <v>0</v>
      </c>
      <c r="V43" s="154">
        <f t="shared" si="21"/>
        <v>0</v>
      </c>
      <c r="W43" s="154">
        <f t="shared" ref="W43:X43" si="22" xml:space="preserve"> W41 * W42</f>
        <v>0</v>
      </c>
      <c r="X43" s="154">
        <f t="shared" si="22"/>
        <v>0</v>
      </c>
    </row>
    <row r="44" spans="1:24" s="154" customFormat="1" x14ac:dyDescent="0.2">
      <c r="A44" s="155"/>
      <c r="B44" s="156"/>
      <c r="C44" s="157"/>
    </row>
    <row r="45" spans="1:24" s="154" customFormat="1" x14ac:dyDescent="0.2">
      <c r="A45" s="155"/>
      <c r="B45" s="156"/>
      <c r="C45" s="157"/>
      <c r="E45" s="154" t="str">
        <f t="shared" ref="E45:X45" si="23" xml:space="preserve"> E$35</f>
        <v>ODI value nominal prices</v>
      </c>
      <c r="F45" s="154">
        <f t="shared" si="23"/>
        <v>0</v>
      </c>
      <c r="G45" s="154" t="str">
        <f t="shared" si="23"/>
        <v>£m (nominal)</v>
      </c>
      <c r="H45" s="154">
        <f t="shared" si="23"/>
        <v>0</v>
      </c>
      <c r="I45" s="154">
        <f t="shared" si="23"/>
        <v>0</v>
      </c>
      <c r="J45" s="162">
        <f t="shared" si="23"/>
        <v>0</v>
      </c>
      <c r="K45" s="162">
        <f t="shared" si="23"/>
        <v>0</v>
      </c>
      <c r="L45" s="162">
        <f t="shared" si="23"/>
        <v>0</v>
      </c>
      <c r="M45" s="162">
        <f t="shared" si="23"/>
        <v>0</v>
      </c>
      <c r="N45" s="162">
        <f t="shared" si="23"/>
        <v>0</v>
      </c>
      <c r="O45" s="162">
        <f t="shared" si="23"/>
        <v>0</v>
      </c>
      <c r="P45" s="162">
        <f t="shared" si="23"/>
        <v>0</v>
      </c>
      <c r="Q45" s="162">
        <f t="shared" si="23"/>
        <v>0</v>
      </c>
      <c r="R45" s="162">
        <f t="shared" si="23"/>
        <v>0</v>
      </c>
      <c r="S45" s="162">
        <f t="shared" si="23"/>
        <v>0</v>
      </c>
      <c r="T45" s="162">
        <f t="shared" si="23"/>
        <v>0</v>
      </c>
      <c r="U45" s="162">
        <f t="shared" si="23"/>
        <v>-8.7999999999999995E-2</v>
      </c>
      <c r="V45" s="162">
        <f t="shared" si="23"/>
        <v>0</v>
      </c>
      <c r="W45" s="162">
        <f t="shared" si="23"/>
        <v>0</v>
      </c>
      <c r="X45" s="162">
        <f t="shared" si="23"/>
        <v>0</v>
      </c>
    </row>
    <row r="46" spans="1:24" s="154" customFormat="1" x14ac:dyDescent="0.2">
      <c r="A46" s="155"/>
      <c r="B46" s="156"/>
      <c r="C46" s="157"/>
      <c r="E46" s="154" t="str">
        <f t="shared" ref="E46:X46" si="24" xml:space="preserve"> E$43</f>
        <v>Tax on nominal ODI</v>
      </c>
      <c r="F46" s="154">
        <f t="shared" si="24"/>
        <v>0</v>
      </c>
      <c r="G46" s="154" t="str">
        <f t="shared" si="24"/>
        <v>£m (nominal)</v>
      </c>
      <c r="H46" s="154">
        <f t="shared" si="24"/>
        <v>0</v>
      </c>
      <c r="I46" s="154">
        <f t="shared" si="24"/>
        <v>0</v>
      </c>
      <c r="J46" s="162">
        <f t="shared" si="24"/>
        <v>0</v>
      </c>
      <c r="K46" s="162">
        <f t="shared" si="24"/>
        <v>0</v>
      </c>
      <c r="L46" s="162">
        <f t="shared" si="24"/>
        <v>0</v>
      </c>
      <c r="M46" s="162">
        <f t="shared" si="24"/>
        <v>0</v>
      </c>
      <c r="N46" s="162">
        <f t="shared" si="24"/>
        <v>0</v>
      </c>
      <c r="O46" s="162">
        <f t="shared" si="24"/>
        <v>0</v>
      </c>
      <c r="P46" s="162">
        <f t="shared" si="24"/>
        <v>0</v>
      </c>
      <c r="Q46" s="162">
        <f t="shared" si="24"/>
        <v>0</v>
      </c>
      <c r="R46" s="162">
        <f t="shared" si="24"/>
        <v>0</v>
      </c>
      <c r="S46" s="162">
        <f t="shared" si="24"/>
        <v>0</v>
      </c>
      <c r="T46" s="162">
        <f t="shared" si="24"/>
        <v>0</v>
      </c>
      <c r="U46" s="162">
        <f t="shared" si="24"/>
        <v>0</v>
      </c>
      <c r="V46" s="162">
        <f t="shared" si="24"/>
        <v>0</v>
      </c>
      <c r="W46" s="162">
        <f t="shared" si="24"/>
        <v>0</v>
      </c>
      <c r="X46" s="162">
        <f t="shared" si="24"/>
        <v>0</v>
      </c>
    </row>
    <row r="47" spans="1:24" s="154" customFormat="1" x14ac:dyDescent="0.2">
      <c r="A47" s="155"/>
      <c r="B47" s="156"/>
      <c r="C47" s="157"/>
      <c r="E47" s="154" t="s">
        <v>754</v>
      </c>
      <c r="G47" s="154" t="s">
        <v>602</v>
      </c>
      <c r="H47" s="162">
        <f xml:space="preserve"> H45 + H46</f>
        <v>0</v>
      </c>
      <c r="J47" s="162">
        <f xml:space="preserve"> J45 + J46</f>
        <v>0</v>
      </c>
      <c r="K47" s="162">
        <f t="shared" ref="K47:T47" si="25" xml:space="preserve"> K45 + K46</f>
        <v>0</v>
      </c>
      <c r="L47" s="162">
        <f t="shared" si="25"/>
        <v>0</v>
      </c>
      <c r="M47" s="162">
        <f t="shared" si="25"/>
        <v>0</v>
      </c>
      <c r="N47" s="162">
        <f t="shared" si="25"/>
        <v>0</v>
      </c>
      <c r="O47" s="162">
        <f t="shared" si="25"/>
        <v>0</v>
      </c>
      <c r="P47" s="162">
        <f t="shared" si="25"/>
        <v>0</v>
      </c>
      <c r="Q47" s="162">
        <f t="shared" si="25"/>
        <v>0</v>
      </c>
      <c r="R47" s="162">
        <f t="shared" si="25"/>
        <v>0</v>
      </c>
      <c r="S47" s="162">
        <f t="shared" si="25"/>
        <v>0</v>
      </c>
      <c r="T47" s="162">
        <f t="shared" si="25"/>
        <v>0</v>
      </c>
      <c r="U47" s="162">
        <f t="shared" ref="U47:V47" si="26" xml:space="preserve"> U45 + U46</f>
        <v>-8.7999999999999995E-2</v>
      </c>
      <c r="V47" s="162">
        <f t="shared" si="26"/>
        <v>0</v>
      </c>
      <c r="W47" s="162">
        <f t="shared" ref="W47:X47" si="27" xml:space="preserve"> W45 + W46</f>
        <v>0</v>
      </c>
      <c r="X47" s="162">
        <f t="shared" si="27"/>
        <v>0</v>
      </c>
    </row>
    <row r="48" spans="1:24" s="154" customFormat="1" x14ac:dyDescent="0.2">
      <c r="A48" s="155"/>
      <c r="B48" s="156"/>
      <c r="C48" s="157"/>
    </row>
    <row r="49" spans="1:24" s="154" customFormat="1" x14ac:dyDescent="0.2">
      <c r="A49" s="155"/>
      <c r="B49" s="156"/>
      <c r="C49" s="157"/>
      <c r="E49" s="154" t="str">
        <f t="shared" ref="E49:X49" si="28" xml:space="preserve"> E$30</f>
        <v>Allowed revenue</v>
      </c>
      <c r="F49" s="154">
        <f t="shared" si="28"/>
        <v>0</v>
      </c>
      <c r="G49" s="154" t="str">
        <f t="shared" si="28"/>
        <v>£m (nominal)</v>
      </c>
      <c r="H49" s="154">
        <f t="shared" si="28"/>
        <v>0</v>
      </c>
      <c r="I49" s="154">
        <f t="shared" si="28"/>
        <v>0</v>
      </c>
      <c r="J49" s="162">
        <f t="shared" si="28"/>
        <v>0</v>
      </c>
      <c r="K49" s="162">
        <f t="shared" si="28"/>
        <v>0</v>
      </c>
      <c r="L49" s="162">
        <f t="shared" si="28"/>
        <v>0</v>
      </c>
      <c r="M49" s="162">
        <f t="shared" si="28"/>
        <v>0</v>
      </c>
      <c r="N49" s="162">
        <f t="shared" si="28"/>
        <v>0</v>
      </c>
      <c r="O49" s="162">
        <f t="shared" si="28"/>
        <v>0</v>
      </c>
      <c r="P49" s="162">
        <f t="shared" si="28"/>
        <v>0</v>
      </c>
      <c r="Q49" s="162">
        <f t="shared" si="28"/>
        <v>0</v>
      </c>
      <c r="R49" s="162">
        <f t="shared" si="28"/>
        <v>0</v>
      </c>
      <c r="S49" s="162">
        <f t="shared" si="28"/>
        <v>0</v>
      </c>
      <c r="T49" s="162">
        <f t="shared" si="28"/>
        <v>0</v>
      </c>
      <c r="U49" s="162">
        <f t="shared" si="28"/>
        <v>0</v>
      </c>
      <c r="V49" s="162">
        <f t="shared" si="28"/>
        <v>0</v>
      </c>
      <c r="W49" s="162">
        <f t="shared" si="28"/>
        <v>0</v>
      </c>
      <c r="X49" s="162">
        <f t="shared" si="28"/>
        <v>0</v>
      </c>
    </row>
    <row r="50" spans="1:24" s="154" customFormat="1" x14ac:dyDescent="0.2">
      <c r="A50" s="155"/>
      <c r="B50" s="156"/>
      <c r="C50" s="157"/>
      <c r="E50" s="154" t="str">
        <f t="shared" ref="E50:X50" si="29" xml:space="preserve"> E$47</f>
        <v xml:space="preserve">Total value of ODI </v>
      </c>
      <c r="F50" s="154">
        <f t="shared" si="29"/>
        <v>0</v>
      </c>
      <c r="G50" s="154" t="str">
        <f t="shared" si="29"/>
        <v>£m (nominal)</v>
      </c>
      <c r="H50" s="154">
        <f t="shared" si="29"/>
        <v>0</v>
      </c>
      <c r="I50" s="154">
        <f t="shared" si="29"/>
        <v>0</v>
      </c>
      <c r="J50" s="162">
        <f t="shared" si="29"/>
        <v>0</v>
      </c>
      <c r="K50" s="162">
        <f t="shared" si="29"/>
        <v>0</v>
      </c>
      <c r="L50" s="162">
        <f t="shared" si="29"/>
        <v>0</v>
      </c>
      <c r="M50" s="162">
        <f t="shared" si="29"/>
        <v>0</v>
      </c>
      <c r="N50" s="162">
        <f t="shared" si="29"/>
        <v>0</v>
      </c>
      <c r="O50" s="162">
        <f t="shared" si="29"/>
        <v>0</v>
      </c>
      <c r="P50" s="162">
        <f t="shared" si="29"/>
        <v>0</v>
      </c>
      <c r="Q50" s="162">
        <f t="shared" si="29"/>
        <v>0</v>
      </c>
      <c r="R50" s="162">
        <f t="shared" si="29"/>
        <v>0</v>
      </c>
      <c r="S50" s="162">
        <f t="shared" si="29"/>
        <v>0</v>
      </c>
      <c r="T50" s="162">
        <f t="shared" si="29"/>
        <v>0</v>
      </c>
      <c r="U50" s="162">
        <f t="shared" si="29"/>
        <v>-8.7999999999999995E-2</v>
      </c>
      <c r="V50" s="162">
        <f t="shared" si="29"/>
        <v>0</v>
      </c>
      <c r="W50" s="162">
        <f t="shared" si="29"/>
        <v>0</v>
      </c>
      <c r="X50" s="162">
        <f t="shared" si="29"/>
        <v>0</v>
      </c>
    </row>
    <row r="51" spans="1:24" s="154" customFormat="1" x14ac:dyDescent="0.2">
      <c r="A51" s="155"/>
      <c r="B51" s="156"/>
      <c r="C51" s="157"/>
      <c r="E51" s="154" t="s">
        <v>755</v>
      </c>
      <c r="G51" s="154" t="s">
        <v>602</v>
      </c>
      <c r="H51" s="154">
        <f xml:space="preserve"> SUM( J51:T51 )</f>
        <v>0</v>
      </c>
      <c r="J51" s="162">
        <f xml:space="preserve"> J49 + J50</f>
        <v>0</v>
      </c>
      <c r="K51" s="162">
        <f t="shared" ref="K51:T51" si="30" xml:space="preserve"> K49 + K50</f>
        <v>0</v>
      </c>
      <c r="L51" s="162">
        <f t="shared" si="30"/>
        <v>0</v>
      </c>
      <c r="M51" s="162">
        <f t="shared" si="30"/>
        <v>0</v>
      </c>
      <c r="N51" s="162">
        <f t="shared" si="30"/>
        <v>0</v>
      </c>
      <c r="O51" s="162">
        <f t="shared" si="30"/>
        <v>0</v>
      </c>
      <c r="P51" s="162">
        <f t="shared" si="30"/>
        <v>0</v>
      </c>
      <c r="Q51" s="162">
        <f t="shared" si="30"/>
        <v>0</v>
      </c>
      <c r="R51" s="162">
        <f t="shared" si="30"/>
        <v>0</v>
      </c>
      <c r="S51" s="162">
        <f t="shared" si="30"/>
        <v>0</v>
      </c>
      <c r="T51" s="162">
        <f t="shared" si="30"/>
        <v>0</v>
      </c>
      <c r="U51" s="162">
        <f t="shared" ref="U51:V51" si="31" xml:space="preserve"> U49 + U50</f>
        <v>-8.7999999999999995E-2</v>
      </c>
      <c r="V51" s="162">
        <f t="shared" si="31"/>
        <v>0</v>
      </c>
      <c r="W51" s="162">
        <f t="shared" ref="W51:X51" si="32" xml:space="preserve"> W49 + W50</f>
        <v>0</v>
      </c>
      <c r="X51" s="162">
        <f t="shared" si="32"/>
        <v>0</v>
      </c>
    </row>
    <row r="52" spans="1:24" s="154" customFormat="1" x14ac:dyDescent="0.2">
      <c r="A52" s="155"/>
      <c r="B52" s="156"/>
      <c r="C52" s="157"/>
    </row>
    <row r="53" spans="1:24" s="154" customFormat="1" x14ac:dyDescent="0.2">
      <c r="A53" s="155"/>
      <c r="B53" s="156" t="s">
        <v>756</v>
      </c>
      <c r="C53" s="157"/>
    </row>
    <row r="54" spans="1:24" s="154" customFormat="1" x14ac:dyDescent="0.2">
      <c r="A54" s="155"/>
      <c r="B54" s="156"/>
      <c r="C54" s="157"/>
      <c r="E54" s="154" t="str">
        <f t="shared" ref="E54:X54" si="33" xml:space="preserve"> E$51</f>
        <v>Revised total nominal revenue</v>
      </c>
      <c r="F54" s="154">
        <f t="shared" si="33"/>
        <v>0</v>
      </c>
      <c r="G54" s="154" t="str">
        <f t="shared" si="33"/>
        <v>£m (nominal)</v>
      </c>
      <c r="H54" s="154">
        <f t="shared" si="33"/>
        <v>0</v>
      </c>
      <c r="I54" s="154">
        <f t="shared" si="33"/>
        <v>0</v>
      </c>
      <c r="J54" s="154">
        <f t="shared" si="33"/>
        <v>0</v>
      </c>
      <c r="K54" s="154">
        <f t="shared" si="33"/>
        <v>0</v>
      </c>
      <c r="L54" s="154">
        <f t="shared" si="33"/>
        <v>0</v>
      </c>
      <c r="M54" s="154">
        <f t="shared" si="33"/>
        <v>0</v>
      </c>
      <c r="N54" s="154">
        <f t="shared" si="33"/>
        <v>0</v>
      </c>
      <c r="O54" s="154">
        <f t="shared" si="33"/>
        <v>0</v>
      </c>
      <c r="P54" s="154">
        <f t="shared" si="33"/>
        <v>0</v>
      </c>
      <c r="Q54" s="154">
        <f t="shared" si="33"/>
        <v>0</v>
      </c>
      <c r="R54" s="154">
        <f t="shared" si="33"/>
        <v>0</v>
      </c>
      <c r="S54" s="154">
        <f t="shared" si="33"/>
        <v>0</v>
      </c>
      <c r="T54" s="154">
        <f t="shared" si="33"/>
        <v>0</v>
      </c>
      <c r="U54" s="154">
        <f t="shared" si="33"/>
        <v>-8.7999999999999995E-2</v>
      </c>
      <c r="V54" s="154">
        <f t="shared" si="33"/>
        <v>0</v>
      </c>
      <c r="W54" s="154">
        <f t="shared" si="33"/>
        <v>0</v>
      </c>
      <c r="X54" s="154">
        <f t="shared" si="33"/>
        <v>0</v>
      </c>
    </row>
    <row r="55" spans="1:24" s="154" customFormat="1" x14ac:dyDescent="0.2">
      <c r="A55" s="155"/>
      <c r="B55" s="163"/>
      <c r="C55" s="157"/>
      <c r="E55" s="164" t="s">
        <v>757</v>
      </c>
      <c r="F55" s="165"/>
      <c r="G55" s="164" t="s">
        <v>583</v>
      </c>
      <c r="H55" s="165"/>
      <c r="J55" s="197">
        <f xml:space="preserve"> IF( I54 = 0, 0, J54 / I54 - 1 )</f>
        <v>0</v>
      </c>
      <c r="K55" s="197">
        <f t="shared" ref="K55:X55" si="34" xml:space="preserve"> IF( J54 = 0, 0, K54 / J54 - 1 )</f>
        <v>0</v>
      </c>
      <c r="L55" s="197">
        <f t="shared" si="34"/>
        <v>0</v>
      </c>
      <c r="M55" s="197">
        <f t="shared" si="34"/>
        <v>0</v>
      </c>
      <c r="N55" s="197">
        <f t="shared" si="34"/>
        <v>0</v>
      </c>
      <c r="O55" s="197">
        <f t="shared" si="34"/>
        <v>0</v>
      </c>
      <c r="P55" s="197">
        <f t="shared" si="34"/>
        <v>0</v>
      </c>
      <c r="Q55" s="197">
        <f t="shared" si="34"/>
        <v>0</v>
      </c>
      <c r="R55" s="197">
        <f t="shared" si="34"/>
        <v>0</v>
      </c>
      <c r="S55" s="197">
        <f t="shared" si="34"/>
        <v>0</v>
      </c>
      <c r="T55" s="197">
        <f t="shared" si="34"/>
        <v>0</v>
      </c>
      <c r="U55" s="197">
        <f t="shared" si="34"/>
        <v>0</v>
      </c>
      <c r="V55" s="197">
        <f t="shared" si="34"/>
        <v>-1</v>
      </c>
      <c r="W55" s="197">
        <f t="shared" si="34"/>
        <v>0</v>
      </c>
      <c r="X55" s="197">
        <f t="shared" si="34"/>
        <v>0</v>
      </c>
    </row>
    <row r="56" spans="1:24" s="154" customFormat="1" x14ac:dyDescent="0.2">
      <c r="A56" s="155"/>
      <c r="B56" s="163"/>
      <c r="C56" s="157"/>
      <c r="E56" s="164"/>
      <c r="F56" s="165"/>
      <c r="G56" s="164"/>
      <c r="H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</row>
    <row r="57" spans="1:24" s="154" customFormat="1" x14ac:dyDescent="0.2">
      <c r="A57" s="155"/>
      <c r="B57" s="163"/>
      <c r="C57" s="157"/>
      <c r="E57" s="164" t="str">
        <f xml:space="preserve"> E$18</f>
        <v>Year of adjustment to be applied</v>
      </c>
      <c r="F57" s="164">
        <f t="shared" ref="F57:X57" si="35" xml:space="preserve"> F$18</f>
        <v>0</v>
      </c>
      <c r="G57" s="164" t="str">
        <f t="shared" si="35"/>
        <v>flag</v>
      </c>
      <c r="H57" s="164">
        <f t="shared" si="35"/>
        <v>0</v>
      </c>
      <c r="I57" s="164">
        <f t="shared" si="35"/>
        <v>0</v>
      </c>
      <c r="J57" s="199">
        <f t="shared" si="35"/>
        <v>0</v>
      </c>
      <c r="K57" s="199">
        <f t="shared" si="35"/>
        <v>0</v>
      </c>
      <c r="L57" s="199">
        <f t="shared" si="35"/>
        <v>0</v>
      </c>
      <c r="M57" s="199">
        <f t="shared" si="35"/>
        <v>0</v>
      </c>
      <c r="N57" s="199">
        <f t="shared" si="35"/>
        <v>0</v>
      </c>
      <c r="O57" s="199">
        <f t="shared" si="35"/>
        <v>0</v>
      </c>
      <c r="P57" s="199">
        <f t="shared" si="35"/>
        <v>0</v>
      </c>
      <c r="Q57" s="199">
        <f t="shared" si="35"/>
        <v>0</v>
      </c>
      <c r="R57" s="199">
        <f t="shared" si="35"/>
        <v>0</v>
      </c>
      <c r="S57" s="199">
        <f t="shared" si="35"/>
        <v>0</v>
      </c>
      <c r="T57" s="199">
        <f xml:space="preserve"> T$18</f>
        <v>0</v>
      </c>
      <c r="U57" s="199">
        <f t="shared" si="35"/>
        <v>1</v>
      </c>
      <c r="V57" s="199">
        <f t="shared" si="35"/>
        <v>0</v>
      </c>
      <c r="W57" s="199">
        <f t="shared" si="35"/>
        <v>0</v>
      </c>
      <c r="X57" s="199">
        <f t="shared" si="35"/>
        <v>0</v>
      </c>
    </row>
    <row r="58" spans="1:24" s="291" customFormat="1" x14ac:dyDescent="0.2">
      <c r="A58" s="347"/>
      <c r="B58" s="348"/>
      <c r="C58" s="349"/>
      <c r="E58" s="350" t="s">
        <v>758</v>
      </c>
      <c r="F58" s="351"/>
      <c r="G58" s="350" t="s">
        <v>644</v>
      </c>
      <c r="H58" s="351"/>
      <c r="J58" s="352">
        <f t="shared" ref="J58:X58" si="36">IF($F$10&lt;&gt;0, IF( OR( J57 = 1, I58 = 1 ), 1, 0 ),0)</f>
        <v>0</v>
      </c>
      <c r="K58" s="352">
        <f t="shared" si="36"/>
        <v>0</v>
      </c>
      <c r="L58" s="352">
        <f t="shared" si="36"/>
        <v>0</v>
      </c>
      <c r="M58" s="352">
        <f t="shared" si="36"/>
        <v>0</v>
      </c>
      <c r="N58" s="352">
        <f t="shared" si="36"/>
        <v>0</v>
      </c>
      <c r="O58" s="352">
        <f t="shared" si="36"/>
        <v>0</v>
      </c>
      <c r="P58" s="352">
        <f t="shared" si="36"/>
        <v>0</v>
      </c>
      <c r="Q58" s="352">
        <f t="shared" si="36"/>
        <v>0</v>
      </c>
      <c r="R58" s="352">
        <f t="shared" si="36"/>
        <v>0</v>
      </c>
      <c r="S58" s="352">
        <f t="shared" si="36"/>
        <v>0</v>
      </c>
      <c r="T58" s="352">
        <f>IF($F$10&lt;&gt;0, IF( OR( T57 = 1, S58 = 1 ), 1, 0 ),0)</f>
        <v>0</v>
      </c>
      <c r="U58" s="352">
        <f t="shared" si="36"/>
        <v>1</v>
      </c>
      <c r="V58" s="352">
        <f t="shared" si="36"/>
        <v>1</v>
      </c>
      <c r="W58" s="352">
        <f t="shared" si="36"/>
        <v>1</v>
      </c>
      <c r="X58" s="352">
        <f t="shared" si="36"/>
        <v>1</v>
      </c>
    </row>
    <row r="59" spans="1:24" s="154" customFormat="1" x14ac:dyDescent="0.2">
      <c r="A59" s="155"/>
      <c r="B59" s="156"/>
      <c r="C59" s="157"/>
    </row>
    <row r="60" spans="1:24" s="167" customFormat="1" x14ac:dyDescent="0.2">
      <c r="A60" s="166"/>
      <c r="B60" s="156"/>
      <c r="E60" s="162" t="str">
        <f t="shared" ref="E60:X60" si="37" xml:space="preserve"> E$55</f>
        <v>Allowed revenue percentage movement</v>
      </c>
      <c r="F60" s="154">
        <f t="shared" si="37"/>
        <v>0</v>
      </c>
      <c r="G60" s="162" t="str">
        <f t="shared" si="37"/>
        <v>Percentage</v>
      </c>
      <c r="H60" s="154">
        <f t="shared" si="37"/>
        <v>0</v>
      </c>
      <c r="I60" s="154">
        <f t="shared" si="37"/>
        <v>0</v>
      </c>
      <c r="J60" s="95">
        <f t="shared" si="37"/>
        <v>0</v>
      </c>
      <c r="K60" s="95">
        <f t="shared" si="37"/>
        <v>0</v>
      </c>
      <c r="L60" s="95">
        <f t="shared" si="37"/>
        <v>0</v>
      </c>
      <c r="M60" s="95">
        <f t="shared" si="37"/>
        <v>0</v>
      </c>
      <c r="N60" s="95">
        <f t="shared" si="37"/>
        <v>0</v>
      </c>
      <c r="O60" s="95">
        <f t="shared" si="37"/>
        <v>0</v>
      </c>
      <c r="P60" s="95">
        <f t="shared" si="37"/>
        <v>0</v>
      </c>
      <c r="Q60" s="95">
        <f t="shared" si="37"/>
        <v>0</v>
      </c>
      <c r="R60" s="95">
        <f t="shared" si="37"/>
        <v>0</v>
      </c>
      <c r="S60" s="95">
        <f t="shared" si="37"/>
        <v>0</v>
      </c>
      <c r="T60" s="95">
        <f t="shared" si="37"/>
        <v>0</v>
      </c>
      <c r="U60" s="95">
        <f t="shared" si="37"/>
        <v>0</v>
      </c>
      <c r="V60" s="95">
        <f t="shared" si="37"/>
        <v>-1</v>
      </c>
      <c r="W60" s="95">
        <f t="shared" si="37"/>
        <v>0</v>
      </c>
      <c r="X60" s="95">
        <f t="shared" si="37"/>
        <v>0</v>
      </c>
    </row>
    <row r="61" spans="1:24" s="167" customFormat="1" x14ac:dyDescent="0.2">
      <c r="A61" s="166"/>
      <c r="B61" s="156"/>
      <c r="E61" s="298" t="str">
        <f xml:space="preserve"> Index!E$12</f>
        <v>November CPIH annual inflation figures</v>
      </c>
      <c r="F61" s="298">
        <f xml:space="preserve"> Index!F$12</f>
        <v>0</v>
      </c>
      <c r="G61" s="298" t="str">
        <f xml:space="preserve"> Index!G$12</f>
        <v>Percentage</v>
      </c>
      <c r="H61" s="298">
        <f xml:space="preserve"> Index!H$12</f>
        <v>0</v>
      </c>
      <c r="I61" s="298">
        <f xml:space="preserve"> Index!I$12</f>
        <v>0</v>
      </c>
      <c r="J61" s="298">
        <f xml:space="preserve"> Index!J$12</f>
        <v>0</v>
      </c>
      <c r="K61" s="298">
        <f xml:space="preserve"> Index!K$12</f>
        <v>0</v>
      </c>
      <c r="L61" s="298">
        <f xml:space="preserve"> Index!L$12</f>
        <v>1.4955134596211339E-2</v>
      </c>
      <c r="M61" s="298">
        <f xml:space="preserve"> Index!M$12</f>
        <v>0</v>
      </c>
      <c r="N61" s="298">
        <f xml:space="preserve"> Index!N$12</f>
        <v>0</v>
      </c>
      <c r="O61" s="298">
        <f xml:space="preserve"> Index!O$12</f>
        <v>0</v>
      </c>
      <c r="P61" s="298">
        <f xml:space="preserve"> Index!P$12</f>
        <v>0</v>
      </c>
      <c r="Q61" s="298">
        <f xml:space="preserve"> Index!Q$12</f>
        <v>0</v>
      </c>
      <c r="R61" s="298">
        <f xml:space="preserve"> Index!R$12</f>
        <v>0</v>
      </c>
      <c r="S61" s="298">
        <f xml:space="preserve"> Index!S$12</f>
        <v>0</v>
      </c>
      <c r="T61" s="298">
        <f xml:space="preserve"> Index!T$12</f>
        <v>0</v>
      </c>
      <c r="U61" s="298">
        <f xml:space="preserve"> Index!U$12</f>
        <v>0</v>
      </c>
      <c r="V61" s="298">
        <f xml:space="preserve"> Index!V$12</f>
        <v>0</v>
      </c>
      <c r="W61" s="298">
        <f xml:space="preserve"> Index!W$12</f>
        <v>0</v>
      </c>
      <c r="X61" s="298">
        <f xml:space="preserve"> Index!X$12</f>
        <v>0</v>
      </c>
    </row>
    <row r="62" spans="1:24" s="167" customFormat="1" x14ac:dyDescent="0.2">
      <c r="A62" s="166"/>
      <c r="B62" s="156"/>
      <c r="E62" s="162" t="str">
        <f t="shared" ref="E62:X62" si="38" xml:space="preserve"> E$58</f>
        <v>Year that price limits should be recalculated</v>
      </c>
      <c r="F62" s="154">
        <f t="shared" si="38"/>
        <v>0</v>
      </c>
      <c r="G62" s="162" t="str">
        <f t="shared" si="38"/>
        <v>flag</v>
      </c>
      <c r="H62" s="154">
        <f t="shared" si="38"/>
        <v>0</v>
      </c>
      <c r="I62" s="154">
        <f t="shared" si="38"/>
        <v>0</v>
      </c>
      <c r="J62" s="200">
        <f t="shared" si="38"/>
        <v>0</v>
      </c>
      <c r="K62" s="200">
        <f t="shared" si="38"/>
        <v>0</v>
      </c>
      <c r="L62" s="200">
        <f t="shared" si="38"/>
        <v>0</v>
      </c>
      <c r="M62" s="200">
        <f t="shared" si="38"/>
        <v>0</v>
      </c>
      <c r="N62" s="200">
        <f t="shared" si="38"/>
        <v>0</v>
      </c>
      <c r="O62" s="200">
        <f t="shared" si="38"/>
        <v>0</v>
      </c>
      <c r="P62" s="200">
        <f t="shared" si="38"/>
        <v>0</v>
      </c>
      <c r="Q62" s="200">
        <f t="shared" si="38"/>
        <v>0</v>
      </c>
      <c r="R62" s="200">
        <f t="shared" si="38"/>
        <v>0</v>
      </c>
      <c r="S62" s="200">
        <f t="shared" si="38"/>
        <v>0</v>
      </c>
      <c r="T62" s="200">
        <f t="shared" si="38"/>
        <v>0</v>
      </c>
      <c r="U62" s="200">
        <f t="shared" si="38"/>
        <v>1</v>
      </c>
      <c r="V62" s="200">
        <f t="shared" si="38"/>
        <v>1</v>
      </c>
      <c r="W62" s="200">
        <f t="shared" si="38"/>
        <v>1</v>
      </c>
      <c r="X62" s="200">
        <f t="shared" si="38"/>
        <v>1</v>
      </c>
    </row>
    <row r="63" spans="1:24" s="167" customFormat="1" x14ac:dyDescent="0.2">
      <c r="A63" s="166"/>
      <c r="B63" s="156"/>
      <c r="E63" s="164" t="s">
        <v>759</v>
      </c>
      <c r="F63" s="165"/>
      <c r="G63" s="164" t="s">
        <v>583</v>
      </c>
      <c r="H63" s="165"/>
      <c r="I63" s="165"/>
      <c r="J63" s="197">
        <f xml:space="preserve"> IF( J62 = 0, 0, J60 - J61 )</f>
        <v>0</v>
      </c>
      <c r="K63" s="197">
        <f xml:space="preserve"> IF( K62 = 0, 0, K60 - K61 )</f>
        <v>0</v>
      </c>
      <c r="L63" s="197">
        <f t="shared" ref="L63:T63" si="39" xml:space="preserve"> IF( L62 = 0, 0, L60 - L61 )</f>
        <v>0</v>
      </c>
      <c r="M63" s="197">
        <f t="shared" si="39"/>
        <v>0</v>
      </c>
      <c r="N63" s="197">
        <f t="shared" si="39"/>
        <v>0</v>
      </c>
      <c r="O63" s="197">
        <f t="shared" si="39"/>
        <v>0</v>
      </c>
      <c r="P63" s="197">
        <f t="shared" si="39"/>
        <v>0</v>
      </c>
      <c r="Q63" s="197">
        <f t="shared" si="39"/>
        <v>0</v>
      </c>
      <c r="R63" s="197">
        <f t="shared" si="39"/>
        <v>0</v>
      </c>
      <c r="S63" s="197">
        <f t="shared" si="39"/>
        <v>0</v>
      </c>
      <c r="T63" s="197">
        <f t="shared" si="39"/>
        <v>0</v>
      </c>
      <c r="U63" s="197">
        <f t="shared" ref="U63:V63" si="40" xml:space="preserve"> IF( U62 = 0, 0, U60 - U61 )</f>
        <v>0</v>
      </c>
      <c r="V63" s="197">
        <f t="shared" si="40"/>
        <v>-1</v>
      </c>
      <c r="W63" s="197">
        <f t="shared" ref="W63:X63" si="41" xml:space="preserve"> IF( W62 = 0, 0, W60 - W61 )</f>
        <v>0</v>
      </c>
      <c r="X63" s="197">
        <f t="shared" si="41"/>
        <v>0</v>
      </c>
    </row>
    <row r="64" spans="1:24" s="154" customFormat="1" x14ac:dyDescent="0.2">
      <c r="A64" s="155"/>
      <c r="B64" s="156"/>
      <c r="C64" s="157"/>
    </row>
    <row r="65" spans="1:24" s="154" customFormat="1" x14ac:dyDescent="0.2">
      <c r="A65" s="155"/>
      <c r="B65" s="156"/>
      <c r="C65" s="157"/>
      <c r="E65" s="154" t="str">
        <f t="shared" ref="E65:X65" si="42" xml:space="preserve"> E$63</f>
        <v>Allowed revenue percentage movement (Nov-Nov CPIH deflated)</v>
      </c>
      <c r="F65" s="154">
        <f t="shared" si="42"/>
        <v>0</v>
      </c>
      <c r="G65" s="154" t="str">
        <f t="shared" si="42"/>
        <v>Percentage</v>
      </c>
      <c r="H65" s="154">
        <f t="shared" si="42"/>
        <v>0</v>
      </c>
      <c r="I65" s="154">
        <f t="shared" si="42"/>
        <v>0</v>
      </c>
      <c r="J65" s="95">
        <f t="shared" si="42"/>
        <v>0</v>
      </c>
      <c r="K65" s="95">
        <f xml:space="preserve"> K$63</f>
        <v>0</v>
      </c>
      <c r="L65" s="95">
        <f xml:space="preserve"> L$63</f>
        <v>0</v>
      </c>
      <c r="M65" s="95">
        <f t="shared" si="42"/>
        <v>0</v>
      </c>
      <c r="N65" s="95">
        <f t="shared" si="42"/>
        <v>0</v>
      </c>
      <c r="O65" s="95">
        <f t="shared" si="42"/>
        <v>0</v>
      </c>
      <c r="P65" s="95">
        <f t="shared" si="42"/>
        <v>0</v>
      </c>
      <c r="Q65" s="95">
        <f t="shared" si="42"/>
        <v>0</v>
      </c>
      <c r="R65" s="95">
        <f t="shared" si="42"/>
        <v>0</v>
      </c>
      <c r="S65" s="95">
        <f t="shared" si="42"/>
        <v>0</v>
      </c>
      <c r="T65" s="95">
        <f t="shared" si="42"/>
        <v>0</v>
      </c>
      <c r="U65" s="95">
        <f t="shared" si="42"/>
        <v>0</v>
      </c>
      <c r="V65" s="95">
        <f t="shared" si="42"/>
        <v>-1</v>
      </c>
      <c r="W65" s="95">
        <f t="shared" si="42"/>
        <v>0</v>
      </c>
      <c r="X65" s="95">
        <f t="shared" si="42"/>
        <v>0</v>
      </c>
    </row>
    <row r="66" spans="1:24" s="154" customFormat="1" x14ac:dyDescent="0.2">
      <c r="A66" s="155"/>
      <c r="B66" s="156"/>
      <c r="E66" s="314" t="s">
        <v>760</v>
      </c>
      <c r="G66" s="162" t="s">
        <v>583</v>
      </c>
      <c r="J66" s="264">
        <f>IF(J58&lt;&gt;0,IF(J65&gt;=0,ROUNDUP(ROUNDDOWN(J65,5),4),ROUNDDOWN(ROUNDUP(J65,5),4)),J28)</f>
        <v>0</v>
      </c>
      <c r="K66" s="264">
        <f t="shared" ref="K66:R66" si="43">IF(K58&lt;&gt;0,IF(K65&gt;=0,ROUNDUP(ROUNDDOWN(K65,5),4),ROUNDDOWN(ROUNDUP(K65,5),4)),K28)</f>
        <v>0</v>
      </c>
      <c r="L66" s="264">
        <f t="shared" si="43"/>
        <v>0</v>
      </c>
      <c r="M66" s="264">
        <f t="shared" si="43"/>
        <v>0</v>
      </c>
      <c r="N66" s="264">
        <f t="shared" si="43"/>
        <v>0</v>
      </c>
      <c r="O66" s="264">
        <f t="shared" si="43"/>
        <v>0</v>
      </c>
      <c r="P66" s="264">
        <f t="shared" si="43"/>
        <v>0</v>
      </c>
      <c r="Q66" s="264">
        <f t="shared" si="43"/>
        <v>0</v>
      </c>
      <c r="R66" s="264">
        <f t="shared" si="43"/>
        <v>0</v>
      </c>
      <c r="S66" s="264">
        <f>IF(S58&lt;&gt;0,IF(S65&gt;=0,ROUNDUP(ROUNDDOWN(S65,5),4),ROUNDDOWN(ROUNDUP(S65,5),4)),S28)</f>
        <v>0</v>
      </c>
      <c r="T66" s="264">
        <f>IF(T58&lt;&gt;0,IF(T65&gt;=0,ROUNDUP(ROUNDDOWN(T65,5),4),ROUNDDOWN(ROUNDUP(T65,5),4)),T28)</f>
        <v>0</v>
      </c>
      <c r="U66" s="264">
        <f t="shared" ref="U66:V66" si="44">IF(U58&lt;&gt;0,IF(U65&gt;=0,ROUNDUP(ROUNDDOWN(U65,5),4),ROUNDDOWN(ROUNDUP(U65,5),4)),U28)</f>
        <v>0</v>
      </c>
      <c r="V66" s="264">
        <f t="shared" si="44"/>
        <v>-1</v>
      </c>
      <c r="W66" s="264">
        <f t="shared" ref="W66:X66" si="45">IF(W58&lt;&gt;0,IF(W65&gt;=0,ROUNDUP(ROUNDDOWN(W65,5),4),ROUNDDOWN(ROUNDUP(W65,5),4)),W28)</f>
        <v>0</v>
      </c>
      <c r="X66" s="264">
        <f t="shared" si="45"/>
        <v>0</v>
      </c>
    </row>
    <row r="67" spans="1:24" s="178" customFormat="1" x14ac:dyDescent="0.2">
      <c r="A67" s="176"/>
      <c r="B67" s="177"/>
      <c r="E67" s="315" t="s">
        <v>760</v>
      </c>
      <c r="G67" s="223" t="s">
        <v>584</v>
      </c>
      <c r="H67" s="179"/>
      <c r="I67" s="179"/>
      <c r="J67" s="178">
        <f>J66*100</f>
        <v>0</v>
      </c>
      <c r="K67" s="178">
        <f t="shared" ref="K67:T67" si="46">K66*100</f>
        <v>0</v>
      </c>
      <c r="L67" s="178">
        <f t="shared" si="46"/>
        <v>0</v>
      </c>
      <c r="M67" s="178">
        <f t="shared" si="46"/>
        <v>0</v>
      </c>
      <c r="N67" s="178">
        <f t="shared" si="46"/>
        <v>0</v>
      </c>
      <c r="O67" s="178">
        <f t="shared" si="46"/>
        <v>0</v>
      </c>
      <c r="P67" s="178">
        <f t="shared" si="46"/>
        <v>0</v>
      </c>
      <c r="Q67" s="178">
        <f t="shared" si="46"/>
        <v>0</v>
      </c>
      <c r="R67" s="178">
        <f t="shared" si="46"/>
        <v>0</v>
      </c>
      <c r="S67" s="178">
        <f t="shared" si="46"/>
        <v>0</v>
      </c>
      <c r="T67" s="178">
        <f t="shared" si="46"/>
        <v>0</v>
      </c>
      <c r="U67" s="178">
        <f t="shared" ref="U67:V67" si="47">U66*100</f>
        <v>0</v>
      </c>
      <c r="V67" s="178">
        <f t="shared" si="47"/>
        <v>-100</v>
      </c>
      <c r="W67" s="178">
        <f t="shared" ref="W67:X67" si="48">W66*100</f>
        <v>0</v>
      </c>
      <c r="X67" s="178">
        <f t="shared" si="48"/>
        <v>0</v>
      </c>
    </row>
    <row r="68" spans="1:24" s="167" customFormat="1" x14ac:dyDescent="0.2">
      <c r="A68" s="166"/>
      <c r="B68" s="156"/>
      <c r="E68" s="168"/>
      <c r="G68" s="168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</row>
    <row r="69" spans="1:24" s="208" customFormat="1" ht="13.5" x14ac:dyDescent="0.25">
      <c r="A69" s="208" t="s">
        <v>134</v>
      </c>
    </row>
  </sheetData>
  <conditionalFormatting sqref="J3:X3">
    <cfRule type="cellIs" dxfId="48" priority="1" operator="equal">
      <formula>"Post-Fcst"</formula>
    </cfRule>
    <cfRule type="cellIs" dxfId="47" priority="2" operator="equal">
      <formula>"Post-Fcst Mod"</formula>
    </cfRule>
    <cfRule type="cellIs" dxfId="46" priority="3" operator="equal">
      <formula>"Forecast"</formula>
    </cfRule>
    <cfRule type="cellIs" dxfId="45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A31AB-6D85-4A44-9B6F-9A1D7A6AA563}">
  <sheetPr codeName="Sheet9">
    <tabColor theme="5"/>
    <outlinePr summaryBelow="0" summaryRight="0"/>
    <pageSetUpPr fitToPage="1"/>
  </sheetPr>
  <dimension ref="A1:X69"/>
  <sheetViews>
    <sheetView showGridLines="0" zoomScale="80" zoomScaleNormal="80" workbookViewId="0">
      <pane xSplit="9" ySplit="5" topLeftCell="J6" activePane="bottomRight" state="frozen"/>
      <selection pane="topRight" activeCell="B4" sqref="B4"/>
      <selection pane="bottomLeft" activeCell="B4" sqref="B4"/>
      <selection pane="bottomRight"/>
    </sheetView>
  </sheetViews>
  <sheetFormatPr defaultColWidth="9.625" defaultRowHeight="12.75" zeroHeight="1" x14ac:dyDescent="0.2"/>
  <cols>
    <col min="1" max="1" width="1.625" style="96" customWidth="1"/>
    <col min="2" max="2" width="1.625" style="139" customWidth="1"/>
    <col min="3" max="3" width="1.625" style="98" customWidth="1"/>
    <col min="4" max="4" width="1.625" style="88" customWidth="1"/>
    <col min="5" max="5" width="50.625" style="88" customWidth="1"/>
    <col min="6" max="6" width="15.625" style="88" customWidth="1"/>
    <col min="7" max="7" width="30.625" style="88" customWidth="1"/>
    <col min="8" max="8" width="15.625" style="30" customWidth="1"/>
    <col min="9" max="9" width="2.625" style="30" customWidth="1"/>
    <col min="10" max="22" width="9.625" style="30" customWidth="1"/>
    <col min="23" max="16384" width="9.625" style="30"/>
  </cols>
  <sheetData>
    <row r="1" spans="1:24" s="103" customFormat="1" ht="44.25" x14ac:dyDescent="0.2">
      <c r="A1" s="132" t="str">
        <f ca="1" xml:space="preserve"> RIGHT(CELL("filename", $A$1), LEN(CELL("filename", $A$1)) - SEARCH("]", CELL("filename", $A$1)))</f>
        <v>Water network plus</v>
      </c>
      <c r="B1" s="133"/>
      <c r="C1" s="134"/>
      <c r="D1" s="130"/>
      <c r="E1" s="130"/>
      <c r="F1" s="130"/>
      <c r="G1" s="130"/>
      <c r="H1" s="393" t="str">
        <f>InpActive!F9</f>
        <v>Anglian Water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4" customFormat="1" x14ac:dyDescent="0.2">
      <c r="A2" s="135"/>
      <c r="B2" s="136"/>
      <c r="C2" s="137"/>
      <c r="D2" s="138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19" customFormat="1" x14ac:dyDescent="0.2">
      <c r="A3" s="131"/>
      <c r="B3" s="136"/>
      <c r="C3" s="137"/>
      <c r="D3" s="138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8" customFormat="1" x14ac:dyDescent="0.2">
      <c r="A4" s="131"/>
      <c r="B4" s="136"/>
      <c r="C4" s="137"/>
      <c r="D4" s="138"/>
      <c r="E4" s="120" t="str">
        <f>Time!E$106</f>
        <v>Financial Year Ending</v>
      </c>
      <c r="F4" s="120"/>
      <c r="G4" s="120"/>
      <c r="H4" s="116"/>
      <c r="I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29" customFormat="1" x14ac:dyDescent="0.2">
      <c r="A5" s="131"/>
      <c r="B5" s="136"/>
      <c r="C5" s="137"/>
      <c r="D5" s="138"/>
      <c r="E5" s="120" t="str">
        <f>Time!E$10</f>
        <v>Model column counter</v>
      </c>
      <c r="F5" s="131" t="s">
        <v>532</v>
      </c>
      <c r="G5" s="131" t="s">
        <v>186</v>
      </c>
      <c r="H5" s="19" t="s">
        <v>533</v>
      </c>
      <c r="I5" s="24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29" customFormat="1" x14ac:dyDescent="0.2">
      <c r="A6" s="131"/>
      <c r="B6" s="136"/>
      <c r="C6" s="137"/>
      <c r="D6" s="138"/>
      <c r="E6" s="120"/>
      <c r="F6" s="131"/>
      <c r="G6" s="131"/>
      <c r="H6" s="19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209" customFormat="1" ht="13.5" x14ac:dyDescent="0.25">
      <c r="A7" s="209" t="s">
        <v>539</v>
      </c>
    </row>
    <row r="8" spans="1:24" x14ac:dyDescent="0.2">
      <c r="A8" s="155"/>
      <c r="B8" s="156"/>
      <c r="C8" s="157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</row>
    <row r="9" spans="1:24" s="154" customFormat="1" x14ac:dyDescent="0.2">
      <c r="A9" s="155"/>
      <c r="B9" s="156" t="s">
        <v>741</v>
      </c>
      <c r="C9" s="157"/>
    </row>
    <row r="10" spans="1:24" s="295" customFormat="1" x14ac:dyDescent="0.2">
      <c r="A10" s="345"/>
      <c r="B10" s="346"/>
      <c r="E10" s="295" t="str">
        <f xml:space="preserve"> 'Abatements and deferrals'!E$146</f>
        <v>Payments after abatements and deferrals and other bespoke adjustments - water network plus</v>
      </c>
      <c r="F10" s="295">
        <f xml:space="preserve"> 'Abatements and deferrals'!F$146</f>
        <v>-20.254644814182257</v>
      </c>
      <c r="G10" s="295" t="str">
        <f xml:space="preserve"> 'Abatements and deferrals'!G$146</f>
        <v>£m (2017-18 FYA CPIH prices)</v>
      </c>
      <c r="H10" s="295">
        <f xml:space="preserve"> 'Abatements and deferrals'!H$146</f>
        <v>0</v>
      </c>
      <c r="I10" s="295">
        <f xml:space="preserve"> 'Abatements and deferrals'!I$146</f>
        <v>0</v>
      </c>
    </row>
    <row r="11" spans="1:24" s="154" customFormat="1" x14ac:dyDescent="0.2">
      <c r="A11" s="155"/>
      <c r="B11" s="156"/>
      <c r="C11" s="157"/>
      <c r="E11" s="291"/>
      <c r="G11" s="291"/>
      <c r="H11" s="291"/>
    </row>
    <row r="12" spans="1:24" s="154" customFormat="1" x14ac:dyDescent="0.2">
      <c r="A12" s="155"/>
      <c r="B12" s="156" t="s">
        <v>742</v>
      </c>
      <c r="C12" s="157"/>
    </row>
    <row r="13" spans="1:24" s="154" customFormat="1" x14ac:dyDescent="0.2">
      <c r="A13" s="155"/>
      <c r="B13" s="156"/>
      <c r="C13" s="157"/>
    </row>
    <row r="14" spans="1:24" s="160" customFormat="1" x14ac:dyDescent="0.2">
      <c r="A14" s="158"/>
      <c r="B14" s="159"/>
      <c r="E14" s="295" t="str">
        <f xml:space="preserve"> InpActive!E$12</f>
        <v>Reporting year</v>
      </c>
      <c r="F14" s="295" t="str">
        <f xml:space="preserve"> InpActive!F$12</f>
        <v>2024-25</v>
      </c>
      <c r="G14" s="295" t="str">
        <f xml:space="preserve"> InpActive!G$12</f>
        <v>Financial year</v>
      </c>
    </row>
    <row r="15" spans="1:24" s="154" customFormat="1" x14ac:dyDescent="0.2">
      <c r="A15" s="155"/>
      <c r="B15" s="156"/>
      <c r="C15" s="157"/>
      <c r="E15" s="154" t="s">
        <v>743</v>
      </c>
      <c r="F15" s="215">
        <f>_xlfn.NUMBERVALUE(CONCATENATE(20,RIGHT(F14,2)))</f>
        <v>2025</v>
      </c>
    </row>
    <row r="16" spans="1:24" s="160" customFormat="1" x14ac:dyDescent="0.2">
      <c r="A16" s="158"/>
      <c r="B16" s="159"/>
      <c r="E16" s="171" t="str">
        <f xml:space="preserve"> Time!E$106</f>
        <v>Financial Year Ending</v>
      </c>
      <c r="F16" s="169">
        <f xml:space="preserve"> Time!F$106</f>
        <v>0</v>
      </c>
      <c r="G16" s="169" t="str">
        <f xml:space="preserve"> Time!G$106</f>
        <v>year #</v>
      </c>
      <c r="H16" s="169">
        <f xml:space="preserve"> Time!H$106</f>
        <v>0</v>
      </c>
      <c r="I16" s="169">
        <f xml:space="preserve"> Time!I$106</f>
        <v>0</v>
      </c>
      <c r="J16" s="214">
        <f xml:space="preserve"> Time!J$106</f>
        <v>2016</v>
      </c>
      <c r="K16" s="214">
        <f xml:space="preserve"> Time!K$106</f>
        <v>2017</v>
      </c>
      <c r="L16" s="214">
        <f xml:space="preserve"> Time!L$106</f>
        <v>2018</v>
      </c>
      <c r="M16" s="214">
        <f xml:space="preserve"> Time!M$106</f>
        <v>2019</v>
      </c>
      <c r="N16" s="214">
        <f xml:space="preserve"> Time!N$106</f>
        <v>2020</v>
      </c>
      <c r="O16" s="214">
        <f xml:space="preserve"> Time!O$106</f>
        <v>2021</v>
      </c>
      <c r="P16" s="214">
        <f xml:space="preserve"> Time!P$106</f>
        <v>2022</v>
      </c>
      <c r="Q16" s="214">
        <f xml:space="preserve"> Time!Q$106</f>
        <v>2023</v>
      </c>
      <c r="R16" s="214">
        <f xml:space="preserve"> Time!R$106</f>
        <v>2024</v>
      </c>
      <c r="S16" s="214">
        <f xml:space="preserve"> Time!S$106</f>
        <v>2025</v>
      </c>
      <c r="T16" s="214">
        <f xml:space="preserve"> Time!T$106</f>
        <v>2026</v>
      </c>
      <c r="U16" s="214">
        <f xml:space="preserve"> Time!U$106</f>
        <v>2027</v>
      </c>
      <c r="V16" s="214">
        <f xml:space="preserve"> Time!V$106</f>
        <v>2028</v>
      </c>
      <c r="W16" s="214">
        <f xml:space="preserve"> Time!W$106</f>
        <v>2029</v>
      </c>
      <c r="X16" s="214">
        <f xml:space="preserve"> Time!X$106</f>
        <v>2030</v>
      </c>
    </row>
    <row r="17" spans="1:24" s="154" customFormat="1" x14ac:dyDescent="0.2">
      <c r="A17" s="155"/>
      <c r="B17" s="156"/>
      <c r="C17" s="157"/>
      <c r="E17" s="154" t="s">
        <v>744</v>
      </c>
      <c r="G17" s="154" t="s">
        <v>644</v>
      </c>
      <c r="J17" s="170">
        <f xml:space="preserve"> IF( J16 = $F15, 1, 0 )</f>
        <v>0</v>
      </c>
      <c r="K17" s="170">
        <f t="shared" ref="K17:T17" si="0" xml:space="preserve"> IF( K16 = $F15, 1, 0 )</f>
        <v>0</v>
      </c>
      <c r="L17" s="170">
        <f t="shared" si="0"/>
        <v>0</v>
      </c>
      <c r="M17" s="170">
        <f t="shared" si="0"/>
        <v>0</v>
      </c>
      <c r="N17" s="170">
        <f t="shared" si="0"/>
        <v>0</v>
      </c>
      <c r="O17" s="170">
        <f t="shared" si="0"/>
        <v>0</v>
      </c>
      <c r="P17" s="170">
        <f t="shared" si="0"/>
        <v>0</v>
      </c>
      <c r="Q17" s="170">
        <f t="shared" si="0"/>
        <v>0</v>
      </c>
      <c r="R17" s="170">
        <f t="shared" si="0"/>
        <v>0</v>
      </c>
      <c r="S17" s="170">
        <f t="shared" si="0"/>
        <v>1</v>
      </c>
      <c r="T17" s="170">
        <f t="shared" si="0"/>
        <v>0</v>
      </c>
      <c r="U17" s="170">
        <f t="shared" ref="U17:V17" si="1" xml:space="preserve"> IF( U16 = $F15, 1, 0 )</f>
        <v>0</v>
      </c>
      <c r="V17" s="170">
        <f t="shared" si="1"/>
        <v>0</v>
      </c>
      <c r="W17" s="170">
        <f t="shared" ref="W17:X17" si="2" xml:space="preserve"> IF( W16 = $F15, 1, 0 )</f>
        <v>0</v>
      </c>
      <c r="X17" s="170">
        <f t="shared" si="2"/>
        <v>0</v>
      </c>
    </row>
    <row r="18" spans="1:24" s="154" customFormat="1" x14ac:dyDescent="0.2">
      <c r="A18" s="155"/>
      <c r="B18" s="156"/>
      <c r="C18" s="157"/>
      <c r="E18" s="154" t="s">
        <v>745</v>
      </c>
      <c r="G18" s="154" t="s">
        <v>644</v>
      </c>
      <c r="J18" s="170">
        <f xml:space="preserve"> IF( H17 = 1, 1, 0 )</f>
        <v>0</v>
      </c>
      <c r="K18" s="170">
        <f t="shared" ref="K18:X18" si="3" xml:space="preserve"> IF( I17 = 1, 1, 0 )</f>
        <v>0</v>
      </c>
      <c r="L18" s="170">
        <f t="shared" si="3"/>
        <v>0</v>
      </c>
      <c r="M18" s="170">
        <f t="shared" si="3"/>
        <v>0</v>
      </c>
      <c r="N18" s="170">
        <f t="shared" si="3"/>
        <v>0</v>
      </c>
      <c r="O18" s="170">
        <f t="shared" si="3"/>
        <v>0</v>
      </c>
      <c r="P18" s="170">
        <f t="shared" si="3"/>
        <v>0</v>
      </c>
      <c r="Q18" s="170">
        <f t="shared" si="3"/>
        <v>0</v>
      </c>
      <c r="R18" s="170">
        <f t="shared" si="3"/>
        <v>0</v>
      </c>
      <c r="S18" s="170">
        <f t="shared" si="3"/>
        <v>0</v>
      </c>
      <c r="T18" s="170">
        <f t="shared" si="3"/>
        <v>0</v>
      </c>
      <c r="U18" s="170">
        <f t="shared" si="3"/>
        <v>1</v>
      </c>
      <c r="V18" s="170">
        <f t="shared" si="3"/>
        <v>0</v>
      </c>
      <c r="W18" s="170">
        <f t="shared" si="3"/>
        <v>0</v>
      </c>
      <c r="X18" s="170">
        <f t="shared" si="3"/>
        <v>0</v>
      </c>
    </row>
    <row r="19" spans="1:24" s="154" customFormat="1" x14ac:dyDescent="0.2">
      <c r="A19" s="155"/>
      <c r="B19" s="156"/>
      <c r="C19" s="157"/>
    </row>
    <row r="20" spans="1:24" s="154" customFormat="1" x14ac:dyDescent="0.2">
      <c r="A20" s="155"/>
      <c r="B20" s="156"/>
      <c r="C20" s="157"/>
      <c r="E20" s="291" t="str">
        <f xml:space="preserve"> E10</f>
        <v>Payments after abatements and deferrals and other bespoke adjustments - water network plus</v>
      </c>
      <c r="G20" s="291" t="str">
        <f xml:space="preserve"> G10</f>
        <v>£m (2017-18 FYA CPIH prices)</v>
      </c>
      <c r="J20" s="291">
        <f t="shared" ref="J20:T20" si="4" xml:space="preserve"> IF( J18 = 1, $F10, 0 )</f>
        <v>0</v>
      </c>
      <c r="K20" s="291">
        <f t="shared" si="4"/>
        <v>0</v>
      </c>
      <c r="L20" s="291">
        <f t="shared" si="4"/>
        <v>0</v>
      </c>
      <c r="M20" s="291">
        <f t="shared" si="4"/>
        <v>0</v>
      </c>
      <c r="N20" s="291">
        <f t="shared" si="4"/>
        <v>0</v>
      </c>
      <c r="O20" s="291">
        <f t="shared" si="4"/>
        <v>0</v>
      </c>
      <c r="P20" s="291">
        <f t="shared" si="4"/>
        <v>0</v>
      </c>
      <c r="Q20" s="291">
        <f t="shared" si="4"/>
        <v>0</v>
      </c>
      <c r="R20" s="291">
        <f t="shared" si="4"/>
        <v>0</v>
      </c>
      <c r="S20" s="291">
        <f t="shared" si="4"/>
        <v>0</v>
      </c>
      <c r="T20" s="291">
        <f t="shared" si="4"/>
        <v>0</v>
      </c>
      <c r="U20" s="291">
        <f t="shared" ref="U20:V20" si="5" xml:space="preserve"> IF( U18 = 1, $F10, 0 )</f>
        <v>-20.254644814182257</v>
      </c>
      <c r="V20" s="291">
        <f t="shared" si="5"/>
        <v>0</v>
      </c>
      <c r="W20" s="291">
        <f t="shared" ref="W20:X20" si="6" xml:space="preserve"> IF( W18 = 1, $F10, 0 )</f>
        <v>0</v>
      </c>
      <c r="X20" s="291">
        <f t="shared" si="6"/>
        <v>0</v>
      </c>
    </row>
    <row r="21" spans="1:24" x14ac:dyDescent="0.2">
      <c r="A21" s="155"/>
      <c r="B21" s="156"/>
      <c r="C21" s="157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</row>
    <row r="22" spans="1:24" s="209" customFormat="1" ht="13.5" x14ac:dyDescent="0.25">
      <c r="A22" s="209" t="s">
        <v>746</v>
      </c>
    </row>
    <row r="23" spans="1:24" x14ac:dyDescent="0.2">
      <c r="A23" s="155"/>
      <c r="B23" s="156"/>
      <c r="C23" s="157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</row>
    <row r="24" spans="1:24" x14ac:dyDescent="0.2">
      <c r="A24" s="155"/>
      <c r="B24" s="156"/>
      <c r="C24" s="154"/>
      <c r="D24" s="154"/>
      <c r="E24" s="295" t="str">
        <f xml:space="preserve"> InpActive!E$118</f>
        <v>Allowed revenue starting point in FD24 - water network plus</v>
      </c>
      <c r="F24" s="295">
        <f xml:space="preserve"> InpActive!F$118</f>
        <v>0</v>
      </c>
      <c r="G24" s="295" t="str">
        <f xml:space="preserve"> InpActive!G$118</f>
        <v>£m (nominal)</v>
      </c>
      <c r="H24" s="295">
        <f xml:space="preserve"> InpActive!H$118</f>
        <v>0</v>
      </c>
      <c r="I24" s="295">
        <f xml:space="preserve"> InpActive!I$118</f>
        <v>0</v>
      </c>
      <c r="J24" s="295">
        <f xml:space="preserve"> InpActive!J$118</f>
        <v>0</v>
      </c>
      <c r="K24" s="295">
        <f xml:space="preserve"> InpActive!K$118</f>
        <v>0</v>
      </c>
      <c r="L24" s="295">
        <f xml:space="preserve"> InpActive!L$118</f>
        <v>0</v>
      </c>
      <c r="M24" s="295">
        <f xml:space="preserve"> InpActive!M$118</f>
        <v>0</v>
      </c>
      <c r="N24" s="295">
        <f xml:space="preserve"> InpActive!N$118</f>
        <v>0</v>
      </c>
      <c r="O24" s="295">
        <f xml:space="preserve"> InpActive!O$118</f>
        <v>0</v>
      </c>
      <c r="P24" s="295">
        <f xml:space="preserve"> InpActive!P$118</f>
        <v>0</v>
      </c>
      <c r="Q24" s="295">
        <f xml:space="preserve"> InpActive!Q$118</f>
        <v>0</v>
      </c>
      <c r="R24" s="295">
        <f xml:space="preserve"> InpActive!R$118</f>
        <v>0</v>
      </c>
      <c r="S24" s="295">
        <f xml:space="preserve"> InpActive!S$118</f>
        <v>0</v>
      </c>
      <c r="T24" s="295">
        <f xml:space="preserve"> InpActive!T$118</f>
        <v>0</v>
      </c>
      <c r="U24" s="295">
        <f xml:space="preserve"> InpActive!U$118</f>
        <v>0</v>
      </c>
      <c r="V24" s="295">
        <f xml:space="preserve"> InpActive!V$118</f>
        <v>0</v>
      </c>
      <c r="W24" s="295">
        <f xml:space="preserve"> InpActive!W$118</f>
        <v>0</v>
      </c>
      <c r="X24" s="295">
        <f xml:space="preserve"> InpActive!X$118</f>
        <v>0</v>
      </c>
    </row>
    <row r="25" spans="1:24" x14ac:dyDescent="0.2">
      <c r="A25" s="155"/>
      <c r="B25" s="156"/>
      <c r="C25" s="154"/>
      <c r="D25" s="154"/>
      <c r="E25" s="154" t="str">
        <f>E24</f>
        <v>Allowed revenue starting point in FD24 - water network plus</v>
      </c>
      <c r="F25" s="154"/>
      <c r="G25" s="154"/>
      <c r="H25" s="254">
        <f xml:space="preserve"> SUM( J24:T24 )</f>
        <v>0</v>
      </c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</row>
    <row r="26" spans="1:24" s="88" customFormat="1" x14ac:dyDescent="0.2">
      <c r="A26" s="155"/>
      <c r="B26" s="156"/>
      <c r="C26" s="157"/>
      <c r="D26" s="154"/>
      <c r="E26" s="171" t="str">
        <f xml:space="preserve"> Time!E$45</f>
        <v>1st Forecast Period Flag</v>
      </c>
      <c r="F26" s="169">
        <f xml:space="preserve"> Time!F$45</f>
        <v>0</v>
      </c>
      <c r="G26" s="169" t="str">
        <f xml:space="preserve"> Time!G$45</f>
        <v>flag</v>
      </c>
      <c r="H26" s="169">
        <f xml:space="preserve"> Time!H$45</f>
        <v>1</v>
      </c>
      <c r="I26" s="169">
        <f xml:space="preserve"> Time!I$45</f>
        <v>0</v>
      </c>
      <c r="J26" s="169">
        <f xml:space="preserve"> Time!J$45</f>
        <v>0</v>
      </c>
      <c r="K26" s="169">
        <f xml:space="preserve"> Time!K$45</f>
        <v>0</v>
      </c>
      <c r="L26" s="169">
        <f xml:space="preserve"> Time!L$45</f>
        <v>0</v>
      </c>
      <c r="M26" s="169">
        <f xml:space="preserve"> Time!M$45</f>
        <v>0</v>
      </c>
      <c r="N26" s="169">
        <f xml:space="preserve"> Time!N$45</f>
        <v>0</v>
      </c>
      <c r="O26" s="253">
        <f xml:space="preserve"> Time!O$45</f>
        <v>0</v>
      </c>
      <c r="P26" s="169">
        <f xml:space="preserve"> Time!P$45</f>
        <v>0</v>
      </c>
      <c r="Q26" s="169">
        <f xml:space="preserve"> Time!Q$45</f>
        <v>0</v>
      </c>
      <c r="R26" s="169">
        <f xml:space="preserve"> Time!R$45</f>
        <v>0</v>
      </c>
      <c r="S26" s="169">
        <f xml:space="preserve"> Time!S$45</f>
        <v>0</v>
      </c>
      <c r="T26" s="169">
        <f xml:space="preserve"> Time!T$45</f>
        <v>1</v>
      </c>
      <c r="U26" s="169">
        <f xml:space="preserve"> Time!U$45</f>
        <v>0</v>
      </c>
      <c r="V26" s="169">
        <f xml:space="preserve"> Time!V$45</f>
        <v>0</v>
      </c>
      <c r="W26" s="169">
        <f xml:space="preserve"> Time!W$45</f>
        <v>0</v>
      </c>
      <c r="X26" s="169">
        <f xml:space="preserve"> Time!X$45</f>
        <v>0</v>
      </c>
    </row>
    <row r="27" spans="1:24" s="86" customFormat="1" x14ac:dyDescent="0.2">
      <c r="A27" s="158"/>
      <c r="B27" s="159"/>
      <c r="C27" s="160"/>
      <c r="D27" s="160"/>
      <c r="E27" s="313" t="str">
        <f xml:space="preserve"> InpActive!E$119</f>
        <v>K factors (last determined) - water network plus</v>
      </c>
      <c r="F27" s="313">
        <f xml:space="preserve"> InpActive!F$119</f>
        <v>0</v>
      </c>
      <c r="G27" s="313" t="str">
        <f xml:space="preserve"> InpActive!G$119</f>
        <v>Number</v>
      </c>
      <c r="H27" s="313">
        <f xml:space="preserve"> InpActive!H$119</f>
        <v>0</v>
      </c>
      <c r="I27" s="313">
        <f xml:space="preserve"> InpActive!I$119</f>
        <v>0</v>
      </c>
      <c r="J27" s="295">
        <f xml:space="preserve"> InpActive!J$119</f>
        <v>0</v>
      </c>
      <c r="K27" s="295">
        <f xml:space="preserve"> InpActive!K$119</f>
        <v>0</v>
      </c>
      <c r="L27" s="295">
        <f xml:space="preserve"> InpActive!L$119</f>
        <v>0</v>
      </c>
      <c r="M27" s="295">
        <f xml:space="preserve"> InpActive!M$119</f>
        <v>0</v>
      </c>
      <c r="N27" s="295">
        <f xml:space="preserve"> InpActive!N$119</f>
        <v>0</v>
      </c>
      <c r="O27" s="295">
        <f xml:space="preserve"> InpActive!O$119</f>
        <v>0</v>
      </c>
      <c r="P27" s="295">
        <f xml:space="preserve"> InpActive!P$119</f>
        <v>0</v>
      </c>
      <c r="Q27" s="295">
        <f xml:space="preserve"> InpActive!Q$119</f>
        <v>0</v>
      </c>
      <c r="R27" s="295">
        <f xml:space="preserve"> InpActive!R$119</f>
        <v>0</v>
      </c>
      <c r="S27" s="295">
        <f xml:space="preserve"> InpActive!S$119</f>
        <v>0</v>
      </c>
      <c r="T27" s="295">
        <f xml:space="preserve"> InpActive!T$119</f>
        <v>0</v>
      </c>
      <c r="U27" s="295">
        <f xml:space="preserve"> InpActive!U$119</f>
        <v>0</v>
      </c>
      <c r="V27" s="295">
        <f xml:space="preserve"> InpActive!V$119</f>
        <v>0</v>
      </c>
      <c r="W27" s="295">
        <f xml:space="preserve"> InpActive!W$119</f>
        <v>0</v>
      </c>
      <c r="X27" s="295">
        <f xml:space="preserve"> InpActive!X$119</f>
        <v>0</v>
      </c>
    </row>
    <row r="28" spans="1:24" x14ac:dyDescent="0.2">
      <c r="A28" s="155"/>
      <c r="B28" s="156"/>
      <c r="C28" s="154"/>
      <c r="D28" s="154"/>
      <c r="E28" s="222" t="s">
        <v>747</v>
      </c>
      <c r="F28" s="222"/>
      <c r="G28" s="222" t="s">
        <v>583</v>
      </c>
      <c r="H28" s="222"/>
      <c r="I28" s="222"/>
      <c r="J28" s="222">
        <f>J27/100</f>
        <v>0</v>
      </c>
      <c r="K28" s="222">
        <f t="shared" ref="K28:T28" si="7">K27/100</f>
        <v>0</v>
      </c>
      <c r="L28" s="222">
        <f t="shared" si="7"/>
        <v>0</v>
      </c>
      <c r="M28" s="222">
        <f t="shared" si="7"/>
        <v>0</v>
      </c>
      <c r="N28" s="222">
        <f t="shared" si="7"/>
        <v>0</v>
      </c>
      <c r="O28" s="255">
        <f t="shared" si="7"/>
        <v>0</v>
      </c>
      <c r="P28" s="222">
        <f t="shared" si="7"/>
        <v>0</v>
      </c>
      <c r="Q28" s="222">
        <f t="shared" si="7"/>
        <v>0</v>
      </c>
      <c r="R28" s="222">
        <f t="shared" si="7"/>
        <v>0</v>
      </c>
      <c r="S28" s="222">
        <f t="shared" si="7"/>
        <v>0</v>
      </c>
      <c r="T28" s="222">
        <f t="shared" si="7"/>
        <v>0</v>
      </c>
      <c r="U28" s="222">
        <f>U27/100</f>
        <v>0</v>
      </c>
      <c r="V28" s="222">
        <f t="shared" ref="V28:W28" si="8">V27/100</f>
        <v>0</v>
      </c>
      <c r="W28" s="222">
        <f t="shared" si="8"/>
        <v>0</v>
      </c>
      <c r="X28" s="222">
        <f t="shared" ref="X28" si="9">X27/100</f>
        <v>0</v>
      </c>
    </row>
    <row r="29" spans="1:24" s="86" customFormat="1" x14ac:dyDescent="0.2">
      <c r="A29" s="158"/>
      <c r="B29" s="159"/>
      <c r="C29" s="160"/>
      <c r="D29" s="160"/>
      <c r="E29" s="313" t="str">
        <f xml:space="preserve"> Index!E$12</f>
        <v>November CPIH annual inflation figures</v>
      </c>
      <c r="F29" s="313">
        <f xml:space="preserve"> Index!F$12</f>
        <v>0</v>
      </c>
      <c r="G29" s="313" t="str">
        <f xml:space="preserve"> Index!G$12</f>
        <v>Percentage</v>
      </c>
      <c r="H29" s="313">
        <f xml:space="preserve"> Index!H$12</f>
        <v>0</v>
      </c>
      <c r="I29" s="313">
        <f xml:space="preserve"> Index!I$12</f>
        <v>0</v>
      </c>
      <c r="J29" s="313">
        <f xml:space="preserve"> Index!J$12</f>
        <v>0</v>
      </c>
      <c r="K29" s="313">
        <f xml:space="preserve"> Index!K$12</f>
        <v>0</v>
      </c>
      <c r="L29" s="313">
        <f xml:space="preserve"> Index!L$12</f>
        <v>1.4955134596211339E-2</v>
      </c>
      <c r="M29" s="313">
        <f xml:space="preserve"> Index!M$12</f>
        <v>0</v>
      </c>
      <c r="N29" s="313">
        <f xml:space="preserve"> Index!N$12</f>
        <v>0</v>
      </c>
      <c r="O29" s="313">
        <f xml:space="preserve"> Index!O$12</f>
        <v>0</v>
      </c>
      <c r="P29" s="313">
        <f xml:space="preserve"> Index!P$12</f>
        <v>0</v>
      </c>
      <c r="Q29" s="313">
        <f xml:space="preserve"> Index!Q$12</f>
        <v>0</v>
      </c>
      <c r="R29" s="313">
        <f xml:space="preserve"> Index!R$12</f>
        <v>0</v>
      </c>
      <c r="S29" s="313">
        <f xml:space="preserve"> Index!S$12</f>
        <v>0</v>
      </c>
      <c r="T29" s="313">
        <f xml:space="preserve"> Index!T$12</f>
        <v>0</v>
      </c>
      <c r="U29" s="313">
        <f xml:space="preserve"> Index!U$12</f>
        <v>0</v>
      </c>
      <c r="V29" s="313">
        <f xml:space="preserve"> Index!V$12</f>
        <v>0</v>
      </c>
      <c r="W29" s="313">
        <f xml:space="preserve"> Index!W$12</f>
        <v>0</v>
      </c>
      <c r="X29" s="313">
        <f xml:space="preserve"> Index!X$12</f>
        <v>0</v>
      </c>
    </row>
    <row r="30" spans="1:24" s="91" customFormat="1" x14ac:dyDescent="0.2">
      <c r="A30" s="155"/>
      <c r="B30" s="156"/>
      <c r="C30" s="154"/>
      <c r="D30" s="154"/>
      <c r="E30" s="154" t="s">
        <v>748</v>
      </c>
      <c r="F30" s="154"/>
      <c r="G30" s="154" t="s">
        <v>602</v>
      </c>
      <c r="H30" s="154">
        <f xml:space="preserve"> SUM( J30:T30 )</f>
        <v>0</v>
      </c>
      <c r="I30" s="154"/>
      <c r="J30" s="154">
        <f xml:space="preserve"> IF(J26=1, $H25 * (1+J29+J28), I30 *  (1+J29+J28))</f>
        <v>0</v>
      </c>
      <c r="K30" s="154">
        <f t="shared" ref="K30:X30" si="10" xml:space="preserve"> IF(K26=1, $H25 * (1+K29+K28), J30 *  (1+K29+K28))</f>
        <v>0</v>
      </c>
      <c r="L30" s="154">
        <f t="shared" si="10"/>
        <v>0</v>
      </c>
      <c r="M30" s="154">
        <f t="shared" si="10"/>
        <v>0</v>
      </c>
      <c r="N30" s="254">
        <f t="shared" si="10"/>
        <v>0</v>
      </c>
      <c r="O30" s="254">
        <f xml:space="preserve"> IF(O26=1, $H25 * (1+O29+O28), N30 *  (1+O29+O28))</f>
        <v>0</v>
      </c>
      <c r="P30" s="154">
        <f xml:space="preserve"> IF(P26=1, $H25 * (1+P29+P28), O30 *  (1+P29+P28))</f>
        <v>0</v>
      </c>
      <c r="Q30" s="154">
        <f t="shared" si="10"/>
        <v>0</v>
      </c>
      <c r="R30" s="154">
        <f t="shared" si="10"/>
        <v>0</v>
      </c>
      <c r="S30" s="154">
        <f t="shared" si="10"/>
        <v>0</v>
      </c>
      <c r="T30" s="154">
        <f t="shared" si="10"/>
        <v>0</v>
      </c>
      <c r="U30" s="154">
        <f t="shared" si="10"/>
        <v>0</v>
      </c>
      <c r="V30" s="154">
        <f t="shared" si="10"/>
        <v>0</v>
      </c>
      <c r="W30" s="154">
        <f t="shared" si="10"/>
        <v>0</v>
      </c>
      <c r="X30" s="154">
        <f t="shared" si="10"/>
        <v>0</v>
      </c>
    </row>
    <row r="31" spans="1:24" x14ac:dyDescent="0.2">
      <c r="A31" s="155"/>
      <c r="B31" s="156"/>
      <c r="C31" s="157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</row>
    <row r="32" spans="1:24" s="154" customFormat="1" x14ac:dyDescent="0.2">
      <c r="A32" s="155"/>
      <c r="B32" s="156" t="s">
        <v>749</v>
      </c>
      <c r="C32" s="157"/>
    </row>
    <row r="33" spans="1:24" s="154" customFormat="1" x14ac:dyDescent="0.2">
      <c r="A33" s="155"/>
      <c r="B33" s="156"/>
      <c r="E33" s="154" t="str">
        <f xml:space="preserve"> E$20</f>
        <v>Payments after abatements and deferrals and other bespoke adjustments - water network plus</v>
      </c>
      <c r="F33" s="154">
        <f t="shared" ref="F33:X33" si="11" xml:space="preserve"> F$20</f>
        <v>0</v>
      </c>
      <c r="G33" s="154" t="str">
        <f t="shared" si="11"/>
        <v>£m (2017-18 FYA CPIH prices)</v>
      </c>
      <c r="H33" s="154">
        <f t="shared" si="11"/>
        <v>0</v>
      </c>
      <c r="I33" s="154">
        <f t="shared" si="11"/>
        <v>0</v>
      </c>
      <c r="J33" s="154">
        <f t="shared" si="11"/>
        <v>0</v>
      </c>
      <c r="K33" s="154">
        <f t="shared" si="11"/>
        <v>0</v>
      </c>
      <c r="L33" s="154">
        <f t="shared" si="11"/>
        <v>0</v>
      </c>
      <c r="M33" s="154">
        <f t="shared" si="11"/>
        <v>0</v>
      </c>
      <c r="N33" s="154">
        <f t="shared" si="11"/>
        <v>0</v>
      </c>
      <c r="O33" s="154">
        <f t="shared" si="11"/>
        <v>0</v>
      </c>
      <c r="P33" s="154">
        <f t="shared" si="11"/>
        <v>0</v>
      </c>
      <c r="Q33" s="154">
        <f t="shared" si="11"/>
        <v>0</v>
      </c>
      <c r="R33" s="154">
        <f t="shared" si="11"/>
        <v>0</v>
      </c>
      <c r="S33" s="154">
        <f t="shared" si="11"/>
        <v>0</v>
      </c>
      <c r="T33" s="154">
        <f t="shared" si="11"/>
        <v>0</v>
      </c>
      <c r="U33" s="154">
        <f t="shared" si="11"/>
        <v>-20.254644814182257</v>
      </c>
      <c r="V33" s="154">
        <f t="shared" si="11"/>
        <v>0</v>
      </c>
      <c r="W33" s="154">
        <f t="shared" si="11"/>
        <v>0</v>
      </c>
      <c r="X33" s="154">
        <f t="shared" si="11"/>
        <v>0</v>
      </c>
    </row>
    <row r="34" spans="1:24" s="160" customFormat="1" x14ac:dyDescent="0.2">
      <c r="A34" s="158"/>
      <c r="B34" s="159"/>
      <c r="E34" s="298" t="str">
        <f xml:space="preserve"> Index!E$16</f>
        <v>November CPIH cumulative inflation factor</v>
      </c>
      <c r="F34" s="298">
        <f xml:space="preserve"> Index!F$16</f>
        <v>0</v>
      </c>
      <c r="G34" s="298" t="str">
        <f xml:space="preserve"> Index!G$16</f>
        <v>Percentage</v>
      </c>
      <c r="H34" s="298">
        <f xml:space="preserve"> Index!H$16</f>
        <v>0</v>
      </c>
      <c r="I34" s="298">
        <f xml:space="preserve"> Index!I$16</f>
        <v>0</v>
      </c>
      <c r="J34" s="298">
        <f xml:space="preserve"> Index!J$16</f>
        <v>0</v>
      </c>
      <c r="K34" s="298">
        <f xml:space="preserve"> Index!K$16</f>
        <v>0</v>
      </c>
      <c r="L34" s="298">
        <f xml:space="preserve"> Index!L$16</f>
        <v>1</v>
      </c>
      <c r="M34" s="298">
        <f xml:space="preserve"> Index!M$16</f>
        <v>1</v>
      </c>
      <c r="N34" s="298">
        <f xml:space="preserve"> Index!N$16</f>
        <v>1</v>
      </c>
      <c r="O34" s="298">
        <f xml:space="preserve"> Index!O$16</f>
        <v>1</v>
      </c>
      <c r="P34" s="298">
        <f xml:space="preserve"> Index!P$16</f>
        <v>1</v>
      </c>
      <c r="Q34" s="298">
        <f xml:space="preserve"> Index!Q$16</f>
        <v>1</v>
      </c>
      <c r="R34" s="298">
        <f xml:space="preserve"> Index!R$16</f>
        <v>1</v>
      </c>
      <c r="S34" s="298">
        <f xml:space="preserve"> Index!S$16</f>
        <v>1</v>
      </c>
      <c r="T34" s="298">
        <f xml:space="preserve"> Index!T$16</f>
        <v>1</v>
      </c>
      <c r="U34" s="298">
        <f xml:space="preserve"> Index!U$16</f>
        <v>1</v>
      </c>
      <c r="V34" s="298">
        <f xml:space="preserve"> Index!V$16</f>
        <v>1</v>
      </c>
      <c r="W34" s="298">
        <f xml:space="preserve"> Index!W$16</f>
        <v>1</v>
      </c>
      <c r="X34" s="298">
        <f xml:space="preserve"> Index!X$16</f>
        <v>1</v>
      </c>
    </row>
    <row r="35" spans="1:24" s="154" customFormat="1" x14ac:dyDescent="0.2">
      <c r="A35" s="155"/>
      <c r="B35" s="156"/>
      <c r="C35" s="157"/>
      <c r="E35" s="154" t="s">
        <v>750</v>
      </c>
      <c r="G35" s="154" t="s">
        <v>602</v>
      </c>
      <c r="H35" s="154">
        <f xml:space="preserve"> SUM( J35:T35 )</f>
        <v>0</v>
      </c>
      <c r="J35" s="154">
        <f t="shared" ref="J35:P35" si="12" xml:space="preserve"> J33 * J34</f>
        <v>0</v>
      </c>
      <c r="K35" s="154">
        <f t="shared" si="12"/>
        <v>0</v>
      </c>
      <c r="L35" s="154">
        <f t="shared" si="12"/>
        <v>0</v>
      </c>
      <c r="M35" s="154">
        <f t="shared" si="12"/>
        <v>0</v>
      </c>
      <c r="N35" s="154">
        <f t="shared" si="12"/>
        <v>0</v>
      </c>
      <c r="O35" s="154">
        <f t="shared" si="12"/>
        <v>0</v>
      </c>
      <c r="P35" s="154">
        <f t="shared" si="12"/>
        <v>0</v>
      </c>
      <c r="Q35" s="154">
        <f t="shared" ref="Q35:V35" si="13" xml:space="preserve"> Q33 * Q34</f>
        <v>0</v>
      </c>
      <c r="R35" s="154">
        <f t="shared" si="13"/>
        <v>0</v>
      </c>
      <c r="S35" s="154">
        <f t="shared" si="13"/>
        <v>0</v>
      </c>
      <c r="T35" s="154">
        <f t="shared" si="13"/>
        <v>0</v>
      </c>
      <c r="U35" s="154">
        <f t="shared" si="13"/>
        <v>-20.254644814182257</v>
      </c>
      <c r="V35" s="154">
        <f t="shared" si="13"/>
        <v>0</v>
      </c>
      <c r="W35" s="154">
        <f t="shared" ref="W35:X35" si="14" xml:space="preserve"> W33 * W34</f>
        <v>0</v>
      </c>
      <c r="X35" s="154">
        <f t="shared" si="14"/>
        <v>0</v>
      </c>
    </row>
    <row r="36" spans="1:24" s="154" customFormat="1" x14ac:dyDescent="0.2">
      <c r="A36" s="155"/>
      <c r="B36" s="156"/>
      <c r="C36" s="157"/>
    </row>
    <row r="37" spans="1:24" s="154" customFormat="1" x14ac:dyDescent="0.2">
      <c r="A37" s="155"/>
      <c r="B37" s="156" t="s">
        <v>751</v>
      </c>
      <c r="C37" s="157"/>
    </row>
    <row r="38" spans="1:24" s="160" customFormat="1" x14ac:dyDescent="0.2">
      <c r="A38" s="158"/>
      <c r="B38" s="156"/>
      <c r="E38" s="298" t="str">
        <f xml:space="preserve"> InpActive!E$90</f>
        <v>Marginal tax rate</v>
      </c>
      <c r="F38" s="298">
        <f xml:space="preserve"> InpActive!F$90</f>
        <v>0</v>
      </c>
      <c r="G38" s="298" t="str">
        <f xml:space="preserve"> InpActive!G$90</f>
        <v>Percentage</v>
      </c>
      <c r="H38" s="298">
        <f xml:space="preserve"> InpActive!H$90</f>
        <v>0</v>
      </c>
      <c r="I38" s="298">
        <f xml:space="preserve"> InpActive!I$90</f>
        <v>0</v>
      </c>
      <c r="J38" s="298">
        <f xml:space="preserve"> InpActive!J$90</f>
        <v>0</v>
      </c>
      <c r="K38" s="298">
        <f xml:space="preserve"> InpActive!K$90</f>
        <v>0</v>
      </c>
      <c r="L38" s="298">
        <f xml:space="preserve"> InpActive!L$90</f>
        <v>0</v>
      </c>
      <c r="M38" s="298">
        <f xml:space="preserve"> InpActive!M$90</f>
        <v>0</v>
      </c>
      <c r="N38" s="298">
        <f xml:space="preserve"> InpActive!N$90</f>
        <v>0</v>
      </c>
      <c r="O38" s="298">
        <f xml:space="preserve"> InpActive!O$90</f>
        <v>0</v>
      </c>
      <c r="P38" s="298">
        <f xml:space="preserve"> InpActive!P$90</f>
        <v>0</v>
      </c>
      <c r="Q38" s="298">
        <f xml:space="preserve"> InpActive!Q$90</f>
        <v>0</v>
      </c>
      <c r="R38" s="298">
        <f xml:space="preserve"> InpActive!R$90</f>
        <v>0</v>
      </c>
      <c r="S38" s="298">
        <f xml:space="preserve"> InpActive!S$90</f>
        <v>0</v>
      </c>
      <c r="T38" s="298">
        <f xml:space="preserve"> InpActive!T$90</f>
        <v>0</v>
      </c>
      <c r="U38" s="298">
        <f xml:space="preserve"> InpActive!U$90</f>
        <v>0</v>
      </c>
      <c r="V38" s="298">
        <f xml:space="preserve"> InpActive!V$90</f>
        <v>0</v>
      </c>
      <c r="W38" s="298">
        <f xml:space="preserve"> InpActive!W$90</f>
        <v>0</v>
      </c>
      <c r="X38" s="298">
        <f xml:space="preserve"> InpActive!X$90</f>
        <v>0</v>
      </c>
    </row>
    <row r="39" spans="1:24" s="95" customFormat="1" x14ac:dyDescent="0.2">
      <c r="A39" s="194"/>
      <c r="B39" s="195"/>
      <c r="E39" s="95" t="s">
        <v>752</v>
      </c>
      <c r="G39" s="95" t="s">
        <v>583</v>
      </c>
      <c r="J39" s="95">
        <f xml:space="preserve"> 1 / (1 - J38 ) - 1</f>
        <v>0</v>
      </c>
      <c r="K39" s="95">
        <f t="shared" ref="K39:T39" si="15" xml:space="preserve"> 1 / (1 - K38 ) - 1</f>
        <v>0</v>
      </c>
      <c r="L39" s="95">
        <f t="shared" si="15"/>
        <v>0</v>
      </c>
      <c r="M39" s="95">
        <f t="shared" si="15"/>
        <v>0</v>
      </c>
      <c r="N39" s="95">
        <f t="shared" si="15"/>
        <v>0</v>
      </c>
      <c r="O39" s="95">
        <f t="shared" si="15"/>
        <v>0</v>
      </c>
      <c r="P39" s="95">
        <f t="shared" si="15"/>
        <v>0</v>
      </c>
      <c r="Q39" s="95">
        <f t="shared" si="15"/>
        <v>0</v>
      </c>
      <c r="R39" s="95">
        <f t="shared" si="15"/>
        <v>0</v>
      </c>
      <c r="S39" s="95">
        <f t="shared" si="15"/>
        <v>0</v>
      </c>
      <c r="T39" s="95">
        <f t="shared" si="15"/>
        <v>0</v>
      </c>
      <c r="U39" s="95">
        <f t="shared" ref="U39:V39" si="16" xml:space="preserve"> 1 / (1 - U38 ) - 1</f>
        <v>0</v>
      </c>
      <c r="V39" s="95">
        <f t="shared" si="16"/>
        <v>0</v>
      </c>
      <c r="W39" s="95">
        <f t="shared" ref="W39:X39" si="17" xml:space="preserve"> 1 / (1 - W38 ) - 1</f>
        <v>0</v>
      </c>
      <c r="X39" s="95">
        <f t="shared" si="17"/>
        <v>0</v>
      </c>
    </row>
    <row r="40" spans="1:24" s="154" customFormat="1" x14ac:dyDescent="0.2">
      <c r="A40" s="155"/>
      <c r="B40" s="156"/>
      <c r="C40" s="157"/>
    </row>
    <row r="41" spans="1:24" s="154" customFormat="1" x14ac:dyDescent="0.2">
      <c r="A41" s="155"/>
      <c r="B41" s="156"/>
      <c r="C41" s="157"/>
      <c r="E41" s="154" t="str">
        <f t="shared" ref="E41:X41" si="18" xml:space="preserve"> E$35</f>
        <v>ODI value nominal prices</v>
      </c>
      <c r="F41" s="154">
        <f t="shared" si="18"/>
        <v>0</v>
      </c>
      <c r="G41" s="154" t="str">
        <f t="shared" si="18"/>
        <v>£m (nominal)</v>
      </c>
      <c r="H41" s="154">
        <f t="shared" si="18"/>
        <v>0</v>
      </c>
      <c r="I41" s="154">
        <f t="shared" si="18"/>
        <v>0</v>
      </c>
      <c r="J41" s="154">
        <f t="shared" si="18"/>
        <v>0</v>
      </c>
      <c r="K41" s="154">
        <f t="shared" si="18"/>
        <v>0</v>
      </c>
      <c r="L41" s="154">
        <f t="shared" si="18"/>
        <v>0</v>
      </c>
      <c r="M41" s="154">
        <f t="shared" si="18"/>
        <v>0</v>
      </c>
      <c r="N41" s="154">
        <f t="shared" si="18"/>
        <v>0</v>
      </c>
      <c r="O41" s="154">
        <f t="shared" si="18"/>
        <v>0</v>
      </c>
      <c r="P41" s="154">
        <f t="shared" si="18"/>
        <v>0</v>
      </c>
      <c r="Q41" s="154">
        <f t="shared" si="18"/>
        <v>0</v>
      </c>
      <c r="R41" s="154">
        <f t="shared" si="18"/>
        <v>0</v>
      </c>
      <c r="S41" s="154">
        <f t="shared" si="18"/>
        <v>0</v>
      </c>
      <c r="T41" s="154">
        <f t="shared" si="18"/>
        <v>0</v>
      </c>
      <c r="U41" s="154">
        <f t="shared" si="18"/>
        <v>-20.254644814182257</v>
      </c>
      <c r="V41" s="154">
        <f t="shared" si="18"/>
        <v>0</v>
      </c>
      <c r="W41" s="154">
        <f t="shared" si="18"/>
        <v>0</v>
      </c>
      <c r="X41" s="154">
        <f t="shared" si="18"/>
        <v>0</v>
      </c>
    </row>
    <row r="42" spans="1:24" s="95" customFormat="1" x14ac:dyDescent="0.2">
      <c r="A42" s="194"/>
      <c r="B42" s="195"/>
      <c r="E42" s="95" t="str">
        <f t="shared" ref="E42:X42" si="19" xml:space="preserve"> E$39</f>
        <v>Tax on Tax geometric uplift</v>
      </c>
      <c r="F42" s="95">
        <f t="shared" si="19"/>
        <v>0</v>
      </c>
      <c r="G42" s="95" t="str">
        <f t="shared" si="19"/>
        <v>Percentage</v>
      </c>
      <c r="H42" s="95">
        <f t="shared" si="19"/>
        <v>0</v>
      </c>
      <c r="I42" s="95">
        <f t="shared" si="19"/>
        <v>0</v>
      </c>
      <c r="J42" s="95">
        <f t="shared" si="19"/>
        <v>0</v>
      </c>
      <c r="K42" s="95">
        <f t="shared" si="19"/>
        <v>0</v>
      </c>
      <c r="L42" s="95">
        <f t="shared" si="19"/>
        <v>0</v>
      </c>
      <c r="M42" s="95">
        <f t="shared" si="19"/>
        <v>0</v>
      </c>
      <c r="N42" s="95">
        <f t="shared" si="19"/>
        <v>0</v>
      </c>
      <c r="O42" s="95">
        <f t="shared" si="19"/>
        <v>0</v>
      </c>
      <c r="P42" s="95">
        <f t="shared" si="19"/>
        <v>0</v>
      </c>
      <c r="Q42" s="95">
        <f t="shared" si="19"/>
        <v>0</v>
      </c>
      <c r="R42" s="95">
        <f t="shared" si="19"/>
        <v>0</v>
      </c>
      <c r="S42" s="95">
        <f t="shared" si="19"/>
        <v>0</v>
      </c>
      <c r="T42" s="95">
        <f t="shared" si="19"/>
        <v>0</v>
      </c>
      <c r="U42" s="95">
        <f t="shared" si="19"/>
        <v>0</v>
      </c>
      <c r="V42" s="95">
        <f t="shared" si="19"/>
        <v>0</v>
      </c>
      <c r="W42" s="95">
        <f t="shared" si="19"/>
        <v>0</v>
      </c>
      <c r="X42" s="95">
        <f t="shared" si="19"/>
        <v>0</v>
      </c>
    </row>
    <row r="43" spans="1:24" s="154" customFormat="1" x14ac:dyDescent="0.2">
      <c r="A43" s="155"/>
      <c r="B43" s="156"/>
      <c r="C43" s="157"/>
      <c r="E43" s="154" t="s">
        <v>753</v>
      </c>
      <c r="G43" s="154" t="s">
        <v>602</v>
      </c>
      <c r="H43" s="154">
        <f xml:space="preserve"> SUM( J43:T43 )</f>
        <v>0</v>
      </c>
      <c r="J43" s="154">
        <f t="shared" ref="J43:T43" si="20" xml:space="preserve"> J41 * J42</f>
        <v>0</v>
      </c>
      <c r="K43" s="154">
        <f t="shared" si="20"/>
        <v>0</v>
      </c>
      <c r="L43" s="154">
        <f t="shared" si="20"/>
        <v>0</v>
      </c>
      <c r="M43" s="154">
        <f t="shared" si="20"/>
        <v>0</v>
      </c>
      <c r="N43" s="154">
        <f t="shared" si="20"/>
        <v>0</v>
      </c>
      <c r="O43" s="154">
        <f t="shared" si="20"/>
        <v>0</v>
      </c>
      <c r="P43" s="154">
        <f t="shared" si="20"/>
        <v>0</v>
      </c>
      <c r="Q43" s="154">
        <f t="shared" si="20"/>
        <v>0</v>
      </c>
      <c r="R43" s="154">
        <f t="shared" si="20"/>
        <v>0</v>
      </c>
      <c r="S43" s="154">
        <f t="shared" si="20"/>
        <v>0</v>
      </c>
      <c r="T43" s="154">
        <f t="shared" si="20"/>
        <v>0</v>
      </c>
      <c r="U43" s="154">
        <f t="shared" ref="U43:V43" si="21" xml:space="preserve"> U41 * U42</f>
        <v>0</v>
      </c>
      <c r="V43" s="154">
        <f t="shared" si="21"/>
        <v>0</v>
      </c>
      <c r="W43" s="154">
        <f t="shared" ref="W43:X43" si="22" xml:space="preserve"> W41 * W42</f>
        <v>0</v>
      </c>
      <c r="X43" s="154">
        <f t="shared" si="22"/>
        <v>0</v>
      </c>
    </row>
    <row r="44" spans="1:24" s="154" customFormat="1" x14ac:dyDescent="0.2">
      <c r="A44" s="155"/>
      <c r="B44" s="156"/>
      <c r="C44" s="157"/>
    </row>
    <row r="45" spans="1:24" s="154" customFormat="1" x14ac:dyDescent="0.2">
      <c r="A45" s="155"/>
      <c r="B45" s="156"/>
      <c r="C45" s="157"/>
      <c r="E45" s="154" t="str">
        <f t="shared" ref="E45:X45" si="23" xml:space="preserve"> E$35</f>
        <v>ODI value nominal prices</v>
      </c>
      <c r="F45" s="154">
        <f t="shared" si="23"/>
        <v>0</v>
      </c>
      <c r="G45" s="154" t="str">
        <f t="shared" si="23"/>
        <v>£m (nominal)</v>
      </c>
      <c r="H45" s="154">
        <f t="shared" si="23"/>
        <v>0</v>
      </c>
      <c r="I45" s="154">
        <f t="shared" si="23"/>
        <v>0</v>
      </c>
      <c r="J45" s="162">
        <f t="shared" si="23"/>
        <v>0</v>
      </c>
      <c r="K45" s="162">
        <f t="shared" si="23"/>
        <v>0</v>
      </c>
      <c r="L45" s="162">
        <f t="shared" si="23"/>
        <v>0</v>
      </c>
      <c r="M45" s="162">
        <f t="shared" si="23"/>
        <v>0</v>
      </c>
      <c r="N45" s="162">
        <f t="shared" si="23"/>
        <v>0</v>
      </c>
      <c r="O45" s="162">
        <f t="shared" si="23"/>
        <v>0</v>
      </c>
      <c r="P45" s="162">
        <f t="shared" si="23"/>
        <v>0</v>
      </c>
      <c r="Q45" s="162">
        <f t="shared" si="23"/>
        <v>0</v>
      </c>
      <c r="R45" s="162">
        <f t="shared" si="23"/>
        <v>0</v>
      </c>
      <c r="S45" s="162">
        <f t="shared" si="23"/>
        <v>0</v>
      </c>
      <c r="T45" s="162">
        <f t="shared" si="23"/>
        <v>0</v>
      </c>
      <c r="U45" s="162">
        <f t="shared" si="23"/>
        <v>-20.254644814182257</v>
      </c>
      <c r="V45" s="162">
        <f t="shared" si="23"/>
        <v>0</v>
      </c>
      <c r="W45" s="162">
        <f t="shared" si="23"/>
        <v>0</v>
      </c>
      <c r="X45" s="162">
        <f t="shared" si="23"/>
        <v>0</v>
      </c>
    </row>
    <row r="46" spans="1:24" s="154" customFormat="1" x14ac:dyDescent="0.2">
      <c r="A46" s="155"/>
      <c r="B46" s="156"/>
      <c r="C46" s="157"/>
      <c r="E46" s="154" t="str">
        <f t="shared" ref="E46:X46" si="24" xml:space="preserve"> E$43</f>
        <v>Tax on nominal ODI</v>
      </c>
      <c r="F46" s="154">
        <f t="shared" si="24"/>
        <v>0</v>
      </c>
      <c r="G46" s="154" t="str">
        <f t="shared" si="24"/>
        <v>£m (nominal)</v>
      </c>
      <c r="H46" s="154">
        <f t="shared" si="24"/>
        <v>0</v>
      </c>
      <c r="I46" s="154">
        <f t="shared" si="24"/>
        <v>0</v>
      </c>
      <c r="J46" s="162">
        <f t="shared" si="24"/>
        <v>0</v>
      </c>
      <c r="K46" s="162">
        <f t="shared" si="24"/>
        <v>0</v>
      </c>
      <c r="L46" s="162">
        <f t="shared" si="24"/>
        <v>0</v>
      </c>
      <c r="M46" s="162">
        <f t="shared" si="24"/>
        <v>0</v>
      </c>
      <c r="N46" s="162">
        <f t="shared" si="24"/>
        <v>0</v>
      </c>
      <c r="O46" s="162">
        <f t="shared" si="24"/>
        <v>0</v>
      </c>
      <c r="P46" s="162">
        <f t="shared" si="24"/>
        <v>0</v>
      </c>
      <c r="Q46" s="162">
        <f t="shared" si="24"/>
        <v>0</v>
      </c>
      <c r="R46" s="162">
        <f t="shared" si="24"/>
        <v>0</v>
      </c>
      <c r="S46" s="162">
        <f t="shared" si="24"/>
        <v>0</v>
      </c>
      <c r="T46" s="162">
        <f t="shared" si="24"/>
        <v>0</v>
      </c>
      <c r="U46" s="162">
        <f t="shared" si="24"/>
        <v>0</v>
      </c>
      <c r="V46" s="162">
        <f t="shared" si="24"/>
        <v>0</v>
      </c>
      <c r="W46" s="162">
        <f t="shared" si="24"/>
        <v>0</v>
      </c>
      <c r="X46" s="162">
        <f t="shared" si="24"/>
        <v>0</v>
      </c>
    </row>
    <row r="47" spans="1:24" s="154" customFormat="1" x14ac:dyDescent="0.2">
      <c r="A47" s="155"/>
      <c r="B47" s="156"/>
      <c r="C47" s="157"/>
      <c r="E47" s="154" t="s">
        <v>754</v>
      </c>
      <c r="G47" s="154" t="s">
        <v>602</v>
      </c>
      <c r="H47" s="162">
        <f xml:space="preserve"> H45 + H46</f>
        <v>0</v>
      </c>
      <c r="J47" s="162">
        <f xml:space="preserve"> J45 + J46</f>
        <v>0</v>
      </c>
      <c r="K47" s="162">
        <f t="shared" ref="K47:T47" si="25" xml:space="preserve"> K45 + K46</f>
        <v>0</v>
      </c>
      <c r="L47" s="162">
        <f t="shared" si="25"/>
        <v>0</v>
      </c>
      <c r="M47" s="162">
        <f t="shared" si="25"/>
        <v>0</v>
      </c>
      <c r="N47" s="162">
        <f t="shared" si="25"/>
        <v>0</v>
      </c>
      <c r="O47" s="162">
        <f t="shared" si="25"/>
        <v>0</v>
      </c>
      <c r="P47" s="162">
        <f t="shared" si="25"/>
        <v>0</v>
      </c>
      <c r="Q47" s="162">
        <f t="shared" si="25"/>
        <v>0</v>
      </c>
      <c r="R47" s="162">
        <f t="shared" si="25"/>
        <v>0</v>
      </c>
      <c r="S47" s="162">
        <f t="shared" si="25"/>
        <v>0</v>
      </c>
      <c r="T47" s="162">
        <f t="shared" si="25"/>
        <v>0</v>
      </c>
      <c r="U47" s="162">
        <f t="shared" ref="U47:V47" si="26" xml:space="preserve"> U45 + U46</f>
        <v>-20.254644814182257</v>
      </c>
      <c r="V47" s="162">
        <f t="shared" si="26"/>
        <v>0</v>
      </c>
      <c r="W47" s="162">
        <f t="shared" ref="W47:X47" si="27" xml:space="preserve"> W45 + W46</f>
        <v>0</v>
      </c>
      <c r="X47" s="162">
        <f t="shared" si="27"/>
        <v>0</v>
      </c>
    </row>
    <row r="48" spans="1:24" s="154" customFormat="1" x14ac:dyDescent="0.2">
      <c r="A48" s="155"/>
      <c r="B48" s="156"/>
      <c r="C48" s="157"/>
    </row>
    <row r="49" spans="1:24" s="154" customFormat="1" x14ac:dyDescent="0.2">
      <c r="A49" s="155"/>
      <c r="B49" s="156"/>
      <c r="C49" s="157"/>
      <c r="E49" s="154" t="str">
        <f t="shared" ref="E49:X49" si="28" xml:space="preserve"> E$30</f>
        <v>Allowed revenue</v>
      </c>
      <c r="F49" s="154">
        <f t="shared" si="28"/>
        <v>0</v>
      </c>
      <c r="G49" s="154" t="str">
        <f t="shared" si="28"/>
        <v>£m (nominal)</v>
      </c>
      <c r="H49" s="154">
        <f t="shared" si="28"/>
        <v>0</v>
      </c>
      <c r="I49" s="154">
        <f t="shared" si="28"/>
        <v>0</v>
      </c>
      <c r="J49" s="162">
        <f t="shared" si="28"/>
        <v>0</v>
      </c>
      <c r="K49" s="162">
        <f t="shared" si="28"/>
        <v>0</v>
      </c>
      <c r="L49" s="162">
        <f t="shared" si="28"/>
        <v>0</v>
      </c>
      <c r="M49" s="162">
        <f t="shared" si="28"/>
        <v>0</v>
      </c>
      <c r="N49" s="162">
        <f t="shared" si="28"/>
        <v>0</v>
      </c>
      <c r="O49" s="162">
        <f t="shared" si="28"/>
        <v>0</v>
      </c>
      <c r="P49" s="162">
        <f t="shared" si="28"/>
        <v>0</v>
      </c>
      <c r="Q49" s="162">
        <f t="shared" si="28"/>
        <v>0</v>
      </c>
      <c r="R49" s="162">
        <f t="shared" si="28"/>
        <v>0</v>
      </c>
      <c r="S49" s="162">
        <f t="shared" si="28"/>
        <v>0</v>
      </c>
      <c r="T49" s="162">
        <f t="shared" si="28"/>
        <v>0</v>
      </c>
      <c r="U49" s="162">
        <f t="shared" si="28"/>
        <v>0</v>
      </c>
      <c r="V49" s="162">
        <f t="shared" si="28"/>
        <v>0</v>
      </c>
      <c r="W49" s="162">
        <f t="shared" si="28"/>
        <v>0</v>
      </c>
      <c r="X49" s="162">
        <f t="shared" si="28"/>
        <v>0</v>
      </c>
    </row>
    <row r="50" spans="1:24" s="154" customFormat="1" x14ac:dyDescent="0.2">
      <c r="A50" s="155"/>
      <c r="B50" s="156"/>
      <c r="C50" s="157"/>
      <c r="E50" s="154" t="str">
        <f t="shared" ref="E50:X50" si="29" xml:space="preserve"> E$47</f>
        <v xml:space="preserve">Total value of ODI </v>
      </c>
      <c r="F50" s="154">
        <f t="shared" si="29"/>
        <v>0</v>
      </c>
      <c r="G50" s="154" t="str">
        <f t="shared" si="29"/>
        <v>£m (nominal)</v>
      </c>
      <c r="H50" s="154">
        <f t="shared" si="29"/>
        <v>0</v>
      </c>
      <c r="I50" s="154">
        <f t="shared" si="29"/>
        <v>0</v>
      </c>
      <c r="J50" s="162">
        <f t="shared" si="29"/>
        <v>0</v>
      </c>
      <c r="K50" s="162">
        <f t="shared" si="29"/>
        <v>0</v>
      </c>
      <c r="L50" s="162">
        <f t="shared" si="29"/>
        <v>0</v>
      </c>
      <c r="M50" s="162">
        <f t="shared" si="29"/>
        <v>0</v>
      </c>
      <c r="N50" s="162">
        <f t="shared" si="29"/>
        <v>0</v>
      </c>
      <c r="O50" s="162">
        <f t="shared" si="29"/>
        <v>0</v>
      </c>
      <c r="P50" s="162">
        <f t="shared" si="29"/>
        <v>0</v>
      </c>
      <c r="Q50" s="162">
        <f t="shared" si="29"/>
        <v>0</v>
      </c>
      <c r="R50" s="162">
        <f t="shared" si="29"/>
        <v>0</v>
      </c>
      <c r="S50" s="162">
        <f t="shared" si="29"/>
        <v>0</v>
      </c>
      <c r="T50" s="162">
        <f t="shared" si="29"/>
        <v>0</v>
      </c>
      <c r="U50" s="162">
        <f t="shared" si="29"/>
        <v>-20.254644814182257</v>
      </c>
      <c r="V50" s="162">
        <f t="shared" si="29"/>
        <v>0</v>
      </c>
      <c r="W50" s="162">
        <f t="shared" si="29"/>
        <v>0</v>
      </c>
      <c r="X50" s="162">
        <f t="shared" si="29"/>
        <v>0</v>
      </c>
    </row>
    <row r="51" spans="1:24" s="154" customFormat="1" x14ac:dyDescent="0.2">
      <c r="A51" s="155"/>
      <c r="B51" s="156"/>
      <c r="C51" s="157"/>
      <c r="E51" s="154" t="s">
        <v>755</v>
      </c>
      <c r="G51" s="154" t="s">
        <v>602</v>
      </c>
      <c r="H51" s="154">
        <f xml:space="preserve"> SUM( J51:T51 )</f>
        <v>0</v>
      </c>
      <c r="J51" s="162">
        <f xml:space="preserve"> J49 + J50</f>
        <v>0</v>
      </c>
      <c r="K51" s="162">
        <f t="shared" ref="K51:T51" si="30" xml:space="preserve"> K49 + K50</f>
        <v>0</v>
      </c>
      <c r="L51" s="162">
        <f t="shared" si="30"/>
        <v>0</v>
      </c>
      <c r="M51" s="162">
        <f t="shared" si="30"/>
        <v>0</v>
      </c>
      <c r="N51" s="162">
        <f t="shared" si="30"/>
        <v>0</v>
      </c>
      <c r="O51" s="162">
        <f t="shared" si="30"/>
        <v>0</v>
      </c>
      <c r="P51" s="162">
        <f t="shared" si="30"/>
        <v>0</v>
      </c>
      <c r="Q51" s="162">
        <f xml:space="preserve"> Q49 + Q50</f>
        <v>0</v>
      </c>
      <c r="R51" s="162">
        <f t="shared" si="30"/>
        <v>0</v>
      </c>
      <c r="S51" s="162">
        <f t="shared" si="30"/>
        <v>0</v>
      </c>
      <c r="T51" s="162">
        <f t="shared" si="30"/>
        <v>0</v>
      </c>
      <c r="U51" s="162">
        <f t="shared" ref="U51:V51" si="31" xml:space="preserve"> U49 + U50</f>
        <v>-20.254644814182257</v>
      </c>
      <c r="V51" s="162">
        <f t="shared" si="31"/>
        <v>0</v>
      </c>
      <c r="W51" s="162">
        <f t="shared" ref="W51:X51" si="32" xml:space="preserve"> W49 + W50</f>
        <v>0</v>
      </c>
      <c r="X51" s="162">
        <f t="shared" si="32"/>
        <v>0</v>
      </c>
    </row>
    <row r="52" spans="1:24" s="154" customFormat="1" x14ac:dyDescent="0.2">
      <c r="A52" s="155"/>
      <c r="B52" s="156"/>
      <c r="C52" s="157"/>
    </row>
    <row r="53" spans="1:24" s="154" customFormat="1" x14ac:dyDescent="0.2">
      <c r="A53" s="155"/>
      <c r="B53" s="156" t="s">
        <v>756</v>
      </c>
      <c r="C53" s="157"/>
    </row>
    <row r="54" spans="1:24" s="154" customFormat="1" x14ac:dyDescent="0.2">
      <c r="A54" s="155"/>
      <c r="B54" s="156"/>
      <c r="C54" s="157"/>
      <c r="E54" s="154" t="str">
        <f t="shared" ref="E54:X54" si="33" xml:space="preserve"> E$51</f>
        <v>Revised total nominal revenue</v>
      </c>
      <c r="F54" s="154">
        <f t="shared" si="33"/>
        <v>0</v>
      </c>
      <c r="G54" s="154" t="str">
        <f t="shared" si="33"/>
        <v>£m (nominal)</v>
      </c>
      <c r="H54" s="154">
        <f t="shared" si="33"/>
        <v>0</v>
      </c>
      <c r="I54" s="154">
        <f t="shared" si="33"/>
        <v>0</v>
      </c>
      <c r="J54" s="154">
        <f t="shared" si="33"/>
        <v>0</v>
      </c>
      <c r="K54" s="154">
        <f t="shared" si="33"/>
        <v>0</v>
      </c>
      <c r="L54" s="154">
        <f t="shared" si="33"/>
        <v>0</v>
      </c>
      <c r="M54" s="154">
        <f t="shared" si="33"/>
        <v>0</v>
      </c>
      <c r="N54" s="154">
        <f t="shared" si="33"/>
        <v>0</v>
      </c>
      <c r="O54" s="154">
        <f t="shared" si="33"/>
        <v>0</v>
      </c>
      <c r="P54" s="154">
        <f t="shared" si="33"/>
        <v>0</v>
      </c>
      <c r="Q54" s="154">
        <f xml:space="preserve"> Q$51</f>
        <v>0</v>
      </c>
      <c r="R54" s="154">
        <f t="shared" si="33"/>
        <v>0</v>
      </c>
      <c r="S54" s="154">
        <f t="shared" si="33"/>
        <v>0</v>
      </c>
      <c r="T54" s="154">
        <f t="shared" si="33"/>
        <v>0</v>
      </c>
      <c r="U54" s="154">
        <f t="shared" si="33"/>
        <v>-20.254644814182257</v>
      </c>
      <c r="V54" s="154">
        <f t="shared" si="33"/>
        <v>0</v>
      </c>
      <c r="W54" s="154">
        <f t="shared" si="33"/>
        <v>0</v>
      </c>
      <c r="X54" s="154">
        <f t="shared" si="33"/>
        <v>0</v>
      </c>
    </row>
    <row r="55" spans="1:24" s="154" customFormat="1" x14ac:dyDescent="0.2">
      <c r="A55" s="155"/>
      <c r="B55" s="163"/>
      <c r="C55" s="157"/>
      <c r="E55" s="164" t="s">
        <v>757</v>
      </c>
      <c r="F55" s="165"/>
      <c r="G55" s="164" t="s">
        <v>583</v>
      </c>
      <c r="H55" s="165"/>
      <c r="J55" s="197">
        <f xml:space="preserve"> IF( I54 = 0, 0, J54 / I54 - 1 )</f>
        <v>0</v>
      </c>
      <c r="K55" s="197">
        <f t="shared" ref="K55:X55" si="34" xml:space="preserve"> IF( J54 = 0, 0, K54 / J54 - 1 )</f>
        <v>0</v>
      </c>
      <c r="L55" s="197">
        <f t="shared" si="34"/>
        <v>0</v>
      </c>
      <c r="M55" s="197">
        <f t="shared" si="34"/>
        <v>0</v>
      </c>
      <c r="N55" s="197">
        <f t="shared" si="34"/>
        <v>0</v>
      </c>
      <c r="O55" s="197">
        <f t="shared" si="34"/>
        <v>0</v>
      </c>
      <c r="P55" s="197">
        <f t="shared" si="34"/>
        <v>0</v>
      </c>
      <c r="Q55" s="197">
        <f xml:space="preserve"> IF( P54 = 0, 0, Q54 / P54 - 1 )</f>
        <v>0</v>
      </c>
      <c r="R55" s="197">
        <f t="shared" si="34"/>
        <v>0</v>
      </c>
      <c r="S55" s="197">
        <f t="shared" si="34"/>
        <v>0</v>
      </c>
      <c r="T55" s="197">
        <f t="shared" si="34"/>
        <v>0</v>
      </c>
      <c r="U55" s="197">
        <f t="shared" si="34"/>
        <v>0</v>
      </c>
      <c r="V55" s="197">
        <f t="shared" si="34"/>
        <v>-1</v>
      </c>
      <c r="W55" s="197">
        <f t="shared" si="34"/>
        <v>0</v>
      </c>
      <c r="X55" s="197">
        <f t="shared" si="34"/>
        <v>0</v>
      </c>
    </row>
    <row r="56" spans="1:24" s="154" customFormat="1" x14ac:dyDescent="0.2">
      <c r="A56" s="155"/>
      <c r="B56" s="163"/>
      <c r="C56" s="157"/>
      <c r="E56" s="164"/>
      <c r="F56" s="165"/>
      <c r="G56" s="164"/>
      <c r="H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</row>
    <row r="57" spans="1:24" s="154" customFormat="1" x14ac:dyDescent="0.2">
      <c r="A57" s="155"/>
      <c r="B57" s="163"/>
      <c r="C57" s="157"/>
      <c r="E57" s="164" t="str">
        <f xml:space="preserve"> E$18</f>
        <v>Year of adjustment to be applied</v>
      </c>
      <c r="F57" s="164">
        <f t="shared" ref="F57:X57" si="35" xml:space="preserve"> F$18</f>
        <v>0</v>
      </c>
      <c r="G57" s="164" t="str">
        <f t="shared" si="35"/>
        <v>flag</v>
      </c>
      <c r="H57" s="164">
        <f t="shared" si="35"/>
        <v>0</v>
      </c>
      <c r="I57" s="164">
        <f t="shared" si="35"/>
        <v>0</v>
      </c>
      <c r="J57" s="199">
        <f t="shared" si="35"/>
        <v>0</v>
      </c>
      <c r="K57" s="199">
        <f t="shared" si="35"/>
        <v>0</v>
      </c>
      <c r="L57" s="199">
        <f t="shared" si="35"/>
        <v>0</v>
      </c>
      <c r="M57" s="199">
        <f t="shared" si="35"/>
        <v>0</v>
      </c>
      <c r="N57" s="199">
        <f t="shared" si="35"/>
        <v>0</v>
      </c>
      <c r="O57" s="199">
        <f t="shared" si="35"/>
        <v>0</v>
      </c>
      <c r="P57" s="199">
        <f t="shared" si="35"/>
        <v>0</v>
      </c>
      <c r="Q57" s="199">
        <f t="shared" si="35"/>
        <v>0</v>
      </c>
      <c r="R57" s="199">
        <f t="shared" si="35"/>
        <v>0</v>
      </c>
      <c r="S57" s="199">
        <f t="shared" si="35"/>
        <v>0</v>
      </c>
      <c r="T57" s="199">
        <f t="shared" si="35"/>
        <v>0</v>
      </c>
      <c r="U57" s="199">
        <f t="shared" si="35"/>
        <v>1</v>
      </c>
      <c r="V57" s="199">
        <f t="shared" si="35"/>
        <v>0</v>
      </c>
      <c r="W57" s="199">
        <f t="shared" si="35"/>
        <v>0</v>
      </c>
      <c r="X57" s="199">
        <f t="shared" si="35"/>
        <v>0</v>
      </c>
    </row>
    <row r="58" spans="1:24" s="291" customFormat="1" x14ac:dyDescent="0.2">
      <c r="A58" s="347"/>
      <c r="B58" s="348"/>
      <c r="C58" s="349"/>
      <c r="E58" s="350" t="s">
        <v>758</v>
      </c>
      <c r="F58" s="351"/>
      <c r="G58" s="350" t="s">
        <v>644</v>
      </c>
      <c r="H58" s="351"/>
      <c r="J58" s="352">
        <f t="shared" ref="J58:X58" si="36">IF($F$10&lt;&gt;0, IF( OR( J57 = 1, I58 = 1 ), 1, 0 ),0)</f>
        <v>0</v>
      </c>
      <c r="K58" s="352">
        <f t="shared" si="36"/>
        <v>0</v>
      </c>
      <c r="L58" s="352">
        <f t="shared" si="36"/>
        <v>0</v>
      </c>
      <c r="M58" s="352">
        <f t="shared" si="36"/>
        <v>0</v>
      </c>
      <c r="N58" s="352">
        <f t="shared" si="36"/>
        <v>0</v>
      </c>
      <c r="O58" s="352">
        <f t="shared" si="36"/>
        <v>0</v>
      </c>
      <c r="P58" s="352">
        <f t="shared" si="36"/>
        <v>0</v>
      </c>
      <c r="Q58" s="352">
        <f t="shared" si="36"/>
        <v>0</v>
      </c>
      <c r="R58" s="352">
        <f t="shared" si="36"/>
        <v>0</v>
      </c>
      <c r="S58" s="352">
        <f t="shared" si="36"/>
        <v>0</v>
      </c>
      <c r="T58" s="352">
        <f t="shared" si="36"/>
        <v>0</v>
      </c>
      <c r="U58" s="352">
        <f t="shared" si="36"/>
        <v>1</v>
      </c>
      <c r="V58" s="352">
        <f t="shared" si="36"/>
        <v>1</v>
      </c>
      <c r="W58" s="352">
        <f t="shared" si="36"/>
        <v>1</v>
      </c>
      <c r="X58" s="352">
        <f t="shared" si="36"/>
        <v>1</v>
      </c>
    </row>
    <row r="59" spans="1:24" s="154" customFormat="1" x14ac:dyDescent="0.2">
      <c r="A59" s="155"/>
      <c r="B59" s="156"/>
      <c r="C59" s="157"/>
    </row>
    <row r="60" spans="1:24" s="167" customFormat="1" x14ac:dyDescent="0.2">
      <c r="A60" s="166"/>
      <c r="B60" s="156"/>
      <c r="E60" s="162" t="str">
        <f t="shared" ref="E60:X60" si="37" xml:space="preserve"> E$55</f>
        <v>Allowed revenue percentage movement</v>
      </c>
      <c r="F60" s="154">
        <f t="shared" si="37"/>
        <v>0</v>
      </c>
      <c r="G60" s="162" t="str">
        <f t="shared" si="37"/>
        <v>Percentage</v>
      </c>
      <c r="H60" s="154">
        <f t="shared" si="37"/>
        <v>0</v>
      </c>
      <c r="I60" s="154">
        <f t="shared" si="37"/>
        <v>0</v>
      </c>
      <c r="J60" s="95">
        <f t="shared" si="37"/>
        <v>0</v>
      </c>
      <c r="K60" s="95">
        <f t="shared" si="37"/>
        <v>0</v>
      </c>
      <c r="L60" s="95">
        <f t="shared" si="37"/>
        <v>0</v>
      </c>
      <c r="M60" s="95">
        <f t="shared" si="37"/>
        <v>0</v>
      </c>
      <c r="N60" s="95">
        <f t="shared" si="37"/>
        <v>0</v>
      </c>
      <c r="O60" s="95">
        <f t="shared" si="37"/>
        <v>0</v>
      </c>
      <c r="P60" s="95">
        <f t="shared" si="37"/>
        <v>0</v>
      </c>
      <c r="Q60" s="95">
        <f t="shared" si="37"/>
        <v>0</v>
      </c>
      <c r="R60" s="95">
        <f t="shared" si="37"/>
        <v>0</v>
      </c>
      <c r="S60" s="95">
        <f t="shared" si="37"/>
        <v>0</v>
      </c>
      <c r="T60" s="95">
        <f t="shared" si="37"/>
        <v>0</v>
      </c>
      <c r="U60" s="95">
        <f t="shared" si="37"/>
        <v>0</v>
      </c>
      <c r="V60" s="95">
        <f t="shared" si="37"/>
        <v>-1</v>
      </c>
      <c r="W60" s="95">
        <f t="shared" si="37"/>
        <v>0</v>
      </c>
      <c r="X60" s="95">
        <f t="shared" si="37"/>
        <v>0</v>
      </c>
    </row>
    <row r="61" spans="1:24" s="167" customFormat="1" x14ac:dyDescent="0.2">
      <c r="A61" s="166"/>
      <c r="B61" s="156"/>
      <c r="E61" s="298" t="str">
        <f xml:space="preserve"> Index!E$12</f>
        <v>November CPIH annual inflation figures</v>
      </c>
      <c r="F61" s="298">
        <f xml:space="preserve"> Index!F$12</f>
        <v>0</v>
      </c>
      <c r="G61" s="298" t="str">
        <f xml:space="preserve"> Index!G$12</f>
        <v>Percentage</v>
      </c>
      <c r="H61" s="298">
        <f xml:space="preserve"> Index!H$12</f>
        <v>0</v>
      </c>
      <c r="I61" s="298">
        <f xml:space="preserve"> Index!I$12</f>
        <v>0</v>
      </c>
      <c r="J61" s="298">
        <f xml:space="preserve"> Index!J$12</f>
        <v>0</v>
      </c>
      <c r="K61" s="298">
        <f xml:space="preserve"> Index!K$12</f>
        <v>0</v>
      </c>
      <c r="L61" s="298">
        <f xml:space="preserve"> Index!L$12</f>
        <v>1.4955134596211339E-2</v>
      </c>
      <c r="M61" s="298">
        <f xml:space="preserve"> Index!M$12</f>
        <v>0</v>
      </c>
      <c r="N61" s="298">
        <f xml:space="preserve"> Index!N$12</f>
        <v>0</v>
      </c>
      <c r="O61" s="298">
        <f xml:space="preserve"> Index!O$12</f>
        <v>0</v>
      </c>
      <c r="P61" s="298">
        <f xml:space="preserve"> Index!P$12</f>
        <v>0</v>
      </c>
      <c r="Q61" s="298">
        <f xml:space="preserve"> Index!Q$12</f>
        <v>0</v>
      </c>
      <c r="R61" s="298">
        <f xml:space="preserve"> Index!R$12</f>
        <v>0</v>
      </c>
      <c r="S61" s="298">
        <f xml:space="preserve"> Index!S$12</f>
        <v>0</v>
      </c>
      <c r="T61" s="298">
        <f xml:space="preserve"> Index!T$12</f>
        <v>0</v>
      </c>
      <c r="U61" s="298">
        <f xml:space="preserve"> Index!U$12</f>
        <v>0</v>
      </c>
      <c r="V61" s="298">
        <f xml:space="preserve"> Index!V$12</f>
        <v>0</v>
      </c>
      <c r="W61" s="298">
        <f xml:space="preserve"> Index!W$12</f>
        <v>0</v>
      </c>
      <c r="X61" s="298">
        <f xml:space="preserve"> Index!X$12</f>
        <v>0</v>
      </c>
    </row>
    <row r="62" spans="1:24" s="167" customFormat="1" x14ac:dyDescent="0.2">
      <c r="A62" s="166"/>
      <c r="B62" s="156"/>
      <c r="E62" s="162" t="str">
        <f t="shared" ref="E62:X62" si="38" xml:space="preserve"> E$58</f>
        <v>Year that price limits should be recalculated</v>
      </c>
      <c r="F62" s="154">
        <f t="shared" si="38"/>
        <v>0</v>
      </c>
      <c r="G62" s="162" t="str">
        <f t="shared" si="38"/>
        <v>flag</v>
      </c>
      <c r="H62" s="154">
        <f t="shared" si="38"/>
        <v>0</v>
      </c>
      <c r="I62" s="154">
        <f t="shared" si="38"/>
        <v>0</v>
      </c>
      <c r="J62" s="200">
        <f t="shared" si="38"/>
        <v>0</v>
      </c>
      <c r="K62" s="200">
        <f t="shared" si="38"/>
        <v>0</v>
      </c>
      <c r="L62" s="200">
        <f t="shared" si="38"/>
        <v>0</v>
      </c>
      <c r="M62" s="200">
        <f t="shared" si="38"/>
        <v>0</v>
      </c>
      <c r="N62" s="200">
        <f t="shared" si="38"/>
        <v>0</v>
      </c>
      <c r="O62" s="200">
        <f t="shared" si="38"/>
        <v>0</v>
      </c>
      <c r="P62" s="200">
        <f t="shared" si="38"/>
        <v>0</v>
      </c>
      <c r="Q62" s="200">
        <f t="shared" si="38"/>
        <v>0</v>
      </c>
      <c r="R62" s="200">
        <f t="shared" si="38"/>
        <v>0</v>
      </c>
      <c r="S62" s="200">
        <f t="shared" si="38"/>
        <v>0</v>
      </c>
      <c r="T62" s="200">
        <f t="shared" si="38"/>
        <v>0</v>
      </c>
      <c r="U62" s="200">
        <f t="shared" si="38"/>
        <v>1</v>
      </c>
      <c r="V62" s="200">
        <f t="shared" si="38"/>
        <v>1</v>
      </c>
      <c r="W62" s="200">
        <f t="shared" si="38"/>
        <v>1</v>
      </c>
      <c r="X62" s="200">
        <f t="shared" si="38"/>
        <v>1</v>
      </c>
    </row>
    <row r="63" spans="1:24" s="167" customFormat="1" x14ac:dyDescent="0.2">
      <c r="A63" s="166"/>
      <c r="B63" s="156"/>
      <c r="E63" s="164" t="s">
        <v>759</v>
      </c>
      <c r="F63" s="165"/>
      <c r="G63" s="164" t="s">
        <v>583</v>
      </c>
      <c r="H63" s="165"/>
      <c r="I63" s="165"/>
      <c r="J63" s="197">
        <f xml:space="preserve"> IF( J62 = 0, 0, J60 - J61 )</f>
        <v>0</v>
      </c>
      <c r="K63" s="197">
        <f t="shared" ref="K63:T63" si="39" xml:space="preserve"> IF( K62 = 0, 0, K60 - K61 )</f>
        <v>0</v>
      </c>
      <c r="L63" s="197">
        <f t="shared" si="39"/>
        <v>0</v>
      </c>
      <c r="M63" s="197">
        <f t="shared" si="39"/>
        <v>0</v>
      </c>
      <c r="N63" s="197">
        <f t="shared" si="39"/>
        <v>0</v>
      </c>
      <c r="O63" s="197">
        <f t="shared" si="39"/>
        <v>0</v>
      </c>
      <c r="P63" s="197">
        <f t="shared" si="39"/>
        <v>0</v>
      </c>
      <c r="Q63" s="197">
        <f xml:space="preserve"> IF( Q62 = 0, 0, Q60 - Q61 )</f>
        <v>0</v>
      </c>
      <c r="R63" s="197">
        <f t="shared" si="39"/>
        <v>0</v>
      </c>
      <c r="S63" s="197">
        <f t="shared" si="39"/>
        <v>0</v>
      </c>
      <c r="T63" s="197">
        <f t="shared" si="39"/>
        <v>0</v>
      </c>
      <c r="U63" s="197">
        <f t="shared" ref="U63:V63" si="40" xml:space="preserve"> IF( U62 = 0, 0, U60 - U61 )</f>
        <v>0</v>
      </c>
      <c r="V63" s="197">
        <f t="shared" si="40"/>
        <v>-1</v>
      </c>
      <c r="W63" s="197">
        <f t="shared" ref="W63:X63" si="41" xml:space="preserve"> IF( W62 = 0, 0, W60 - W61 )</f>
        <v>0</v>
      </c>
      <c r="X63" s="197">
        <f t="shared" si="41"/>
        <v>0</v>
      </c>
    </row>
    <row r="64" spans="1:24" s="154" customFormat="1" x14ac:dyDescent="0.2">
      <c r="A64" s="155"/>
      <c r="B64" s="156"/>
      <c r="C64" s="157"/>
    </row>
    <row r="65" spans="1:24" s="154" customFormat="1" x14ac:dyDescent="0.2">
      <c r="A65" s="155"/>
      <c r="B65" s="156"/>
      <c r="C65" s="157"/>
      <c r="E65" s="154" t="str">
        <f t="shared" ref="E65:X65" si="42" xml:space="preserve"> E$63</f>
        <v>Allowed revenue percentage movement (Nov-Nov CPIH deflated)</v>
      </c>
      <c r="F65" s="154">
        <f t="shared" si="42"/>
        <v>0</v>
      </c>
      <c r="G65" s="154" t="str">
        <f t="shared" si="42"/>
        <v>Percentage</v>
      </c>
      <c r="H65" s="154">
        <f t="shared" si="42"/>
        <v>0</v>
      </c>
      <c r="I65" s="154">
        <f t="shared" si="42"/>
        <v>0</v>
      </c>
      <c r="J65" s="95">
        <f xml:space="preserve"> J$63</f>
        <v>0</v>
      </c>
      <c r="K65" s="95">
        <f t="shared" si="42"/>
        <v>0</v>
      </c>
      <c r="L65" s="95">
        <f t="shared" si="42"/>
        <v>0</v>
      </c>
      <c r="M65" s="95">
        <f t="shared" si="42"/>
        <v>0</v>
      </c>
      <c r="N65" s="95">
        <f t="shared" si="42"/>
        <v>0</v>
      </c>
      <c r="O65" s="95">
        <f t="shared" si="42"/>
        <v>0</v>
      </c>
      <c r="P65" s="95">
        <f t="shared" si="42"/>
        <v>0</v>
      </c>
      <c r="Q65" s="95">
        <f t="shared" si="42"/>
        <v>0</v>
      </c>
      <c r="R65" s="95">
        <f t="shared" si="42"/>
        <v>0</v>
      </c>
      <c r="S65" s="95">
        <f t="shared" si="42"/>
        <v>0</v>
      </c>
      <c r="T65" s="95">
        <f t="shared" si="42"/>
        <v>0</v>
      </c>
      <c r="U65" s="95">
        <f t="shared" si="42"/>
        <v>0</v>
      </c>
      <c r="V65" s="95">
        <f t="shared" si="42"/>
        <v>-1</v>
      </c>
      <c r="W65" s="95">
        <f t="shared" si="42"/>
        <v>0</v>
      </c>
      <c r="X65" s="95">
        <f t="shared" si="42"/>
        <v>0</v>
      </c>
    </row>
    <row r="66" spans="1:24" s="154" customFormat="1" x14ac:dyDescent="0.2">
      <c r="A66" s="155"/>
      <c r="B66" s="156"/>
      <c r="E66" s="314" t="s">
        <v>761</v>
      </c>
      <c r="G66" s="162" t="s">
        <v>583</v>
      </c>
      <c r="J66" s="264">
        <f>IF(J58&lt;&gt;0,IF(J65&gt;=0,ROUNDUP(ROUNDDOWN(J65,5),4),ROUNDDOWN(ROUNDUP(J65,5),4)),J28)</f>
        <v>0</v>
      </c>
      <c r="K66" s="264">
        <f t="shared" ref="K66:T66" si="43">IF(K58&lt;&gt;0,IF(K65&gt;=0,ROUNDUP(ROUNDDOWN(K65,5),4),ROUNDDOWN(ROUNDUP(K65,5),4)),K28)</f>
        <v>0</v>
      </c>
      <c r="L66" s="264">
        <f t="shared" si="43"/>
        <v>0</v>
      </c>
      <c r="M66" s="264">
        <f t="shared" si="43"/>
        <v>0</v>
      </c>
      <c r="N66" s="264">
        <f t="shared" si="43"/>
        <v>0</v>
      </c>
      <c r="O66" s="264">
        <f t="shared" si="43"/>
        <v>0</v>
      </c>
      <c r="P66" s="264">
        <f t="shared" si="43"/>
        <v>0</v>
      </c>
      <c r="Q66" s="264">
        <f>IF(Q58&lt;&gt;0,IF(Q65&gt;=0,ROUNDUP(ROUNDDOWN(Q65,5),4),ROUNDDOWN(ROUNDUP(Q65,5),4)),Q28)</f>
        <v>0</v>
      </c>
      <c r="R66" s="264">
        <f t="shared" si="43"/>
        <v>0</v>
      </c>
      <c r="S66" s="264">
        <f t="shared" si="43"/>
        <v>0</v>
      </c>
      <c r="T66" s="264">
        <f t="shared" si="43"/>
        <v>0</v>
      </c>
      <c r="U66" s="264">
        <f>IF(U58&lt;&gt;0,IF(U65&gt;=0,ROUNDUP(ROUNDDOWN(U65,5),4),ROUNDDOWN(ROUNDUP(U65,5),4)),U28)</f>
        <v>0</v>
      </c>
      <c r="V66" s="264">
        <f t="shared" ref="V66:W66" si="44">IF(V58&lt;&gt;0,IF(V65&gt;=0,ROUNDUP(ROUNDDOWN(V65,5),4),ROUNDDOWN(ROUNDUP(V65,5),4)),V28)</f>
        <v>-1</v>
      </c>
      <c r="W66" s="264">
        <f t="shared" si="44"/>
        <v>0</v>
      </c>
      <c r="X66" s="264">
        <f t="shared" ref="X66" si="45">IF(X58&lt;&gt;0,IF(X65&gt;=0,ROUNDUP(ROUNDDOWN(X65,5),4),ROUNDDOWN(ROUNDUP(X65,5),4)),X28)</f>
        <v>0</v>
      </c>
    </row>
    <row r="67" spans="1:24" s="178" customFormat="1" x14ac:dyDescent="0.2">
      <c r="A67" s="176"/>
      <c r="B67" s="177"/>
      <c r="E67" s="315" t="s">
        <v>761</v>
      </c>
      <c r="G67" s="223" t="s">
        <v>584</v>
      </c>
      <c r="J67" s="178">
        <f>J66*100</f>
        <v>0</v>
      </c>
      <c r="K67" s="178">
        <f t="shared" ref="K67:T67" si="46">K66*100</f>
        <v>0</v>
      </c>
      <c r="L67" s="178">
        <f t="shared" si="46"/>
        <v>0</v>
      </c>
      <c r="M67" s="178">
        <f t="shared" si="46"/>
        <v>0</v>
      </c>
      <c r="N67" s="178">
        <f t="shared" si="46"/>
        <v>0</v>
      </c>
      <c r="O67" s="178">
        <f t="shared" si="46"/>
        <v>0</v>
      </c>
      <c r="P67" s="178">
        <f t="shared" si="46"/>
        <v>0</v>
      </c>
      <c r="Q67" s="178">
        <f t="shared" si="46"/>
        <v>0</v>
      </c>
      <c r="R67" s="178">
        <f t="shared" si="46"/>
        <v>0</v>
      </c>
      <c r="S67" s="178">
        <f t="shared" si="46"/>
        <v>0</v>
      </c>
      <c r="T67" s="178">
        <f t="shared" si="46"/>
        <v>0</v>
      </c>
      <c r="U67" s="178">
        <f t="shared" ref="U67:V67" si="47">U66*100</f>
        <v>0</v>
      </c>
      <c r="V67" s="178">
        <f t="shared" si="47"/>
        <v>-100</v>
      </c>
      <c r="W67" s="178">
        <f t="shared" ref="W67:X67" si="48">W66*100</f>
        <v>0</v>
      </c>
      <c r="X67" s="178">
        <f t="shared" si="48"/>
        <v>0</v>
      </c>
    </row>
    <row r="68" spans="1:24" s="154" customFormat="1" x14ac:dyDescent="0.2">
      <c r="A68" s="155"/>
      <c r="B68" s="156"/>
      <c r="E68" s="162"/>
      <c r="G68" s="162"/>
    </row>
    <row r="69" spans="1:24" s="208" customFormat="1" ht="13.5" x14ac:dyDescent="0.25">
      <c r="A69" s="208" t="s">
        <v>134</v>
      </c>
    </row>
  </sheetData>
  <conditionalFormatting sqref="J3:X3">
    <cfRule type="cellIs" dxfId="44" priority="1" operator="equal">
      <formula>"Post-Fcst"</formula>
    </cfRule>
    <cfRule type="cellIs" dxfId="43" priority="2" operator="equal">
      <formula>"Post-Fcst Mod"</formula>
    </cfRule>
    <cfRule type="cellIs" dxfId="42" priority="3" operator="equal">
      <formula>"Forecast"</formula>
    </cfRule>
    <cfRule type="cellIs" dxfId="41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9EC93-8708-4F27-B50B-D4CFD6E92015}">
  <sheetPr>
    <tabColor theme="5"/>
    <outlinePr summaryBelow="0" summaryRight="0"/>
    <pageSetUpPr fitToPage="1"/>
  </sheetPr>
  <dimension ref="A1:X69"/>
  <sheetViews>
    <sheetView showGridLines="0" zoomScale="80" zoomScaleNormal="80" workbookViewId="0">
      <pane xSplit="9" ySplit="5" topLeftCell="J6" activePane="bottomRight" state="frozen"/>
      <selection pane="topRight" activeCell="B4" sqref="B4"/>
      <selection pane="bottomLeft" activeCell="B4" sqref="B4"/>
      <selection pane="bottomRight"/>
    </sheetView>
  </sheetViews>
  <sheetFormatPr defaultColWidth="9.625" defaultRowHeight="12.75" zeroHeight="1" x14ac:dyDescent="0.2"/>
  <cols>
    <col min="1" max="1" width="1.625" style="96" customWidth="1"/>
    <col min="2" max="2" width="1.625" style="139" customWidth="1"/>
    <col min="3" max="3" width="1.625" style="98" customWidth="1"/>
    <col min="4" max="4" width="1.625" style="88" customWidth="1"/>
    <col min="5" max="5" width="50.625" style="88" customWidth="1"/>
    <col min="6" max="6" width="15.625" style="88" customWidth="1"/>
    <col min="7" max="7" width="30.625" style="88" customWidth="1"/>
    <col min="8" max="8" width="15.625" style="30" customWidth="1"/>
    <col min="9" max="9" width="2.625" style="30" customWidth="1"/>
    <col min="10" max="22" width="9.625" style="30" customWidth="1"/>
    <col min="23" max="16384" width="9.625" style="30"/>
  </cols>
  <sheetData>
    <row r="1" spans="1:24" s="103" customFormat="1" ht="44.25" x14ac:dyDescent="0.2">
      <c r="A1" s="132" t="str">
        <f ca="1" xml:space="preserve"> RIGHT(CELL("filename", $A$1), LEN(CELL("filename", $A$1)) - SEARCH("]", CELL("filename", $A$1)))</f>
        <v>Wastewater network plus</v>
      </c>
      <c r="B1" s="133"/>
      <c r="C1" s="134"/>
      <c r="D1" s="130"/>
      <c r="E1" s="130"/>
      <c r="F1" s="130"/>
      <c r="G1" s="130"/>
      <c r="H1" s="393" t="str">
        <f>InpActive!F9</f>
        <v>Anglian Water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4" customFormat="1" x14ac:dyDescent="0.2">
      <c r="A2" s="135"/>
      <c r="B2" s="136"/>
      <c r="C2" s="137"/>
      <c r="D2" s="138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19" customFormat="1" x14ac:dyDescent="0.2">
      <c r="A3" s="131"/>
      <c r="B3" s="136"/>
      <c r="C3" s="137"/>
      <c r="D3" s="138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8" customFormat="1" x14ac:dyDescent="0.2">
      <c r="A4" s="131"/>
      <c r="B4" s="136"/>
      <c r="C4" s="137"/>
      <c r="D4" s="138"/>
      <c r="E4" s="120" t="str">
        <f>Time!E$106</f>
        <v>Financial Year Ending</v>
      </c>
      <c r="F4" s="120"/>
      <c r="G4" s="120"/>
      <c r="H4" s="116"/>
      <c r="I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29" customFormat="1" x14ac:dyDescent="0.2">
      <c r="A5" s="131"/>
      <c r="B5" s="136"/>
      <c r="C5" s="137"/>
      <c r="D5" s="138"/>
      <c r="E5" s="120" t="str">
        <f>Time!E$10</f>
        <v>Model column counter</v>
      </c>
      <c r="F5" s="131" t="s">
        <v>532</v>
      </c>
      <c r="G5" s="131" t="s">
        <v>186</v>
      </c>
      <c r="H5" s="19" t="s">
        <v>533</v>
      </c>
      <c r="I5" s="24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29" customFormat="1" x14ac:dyDescent="0.2">
      <c r="A6" s="131"/>
      <c r="B6" s="136"/>
      <c r="C6" s="137"/>
      <c r="D6" s="138"/>
      <c r="E6" s="120"/>
      <c r="F6" s="131"/>
      <c r="G6" s="131"/>
      <c r="H6" s="19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209" customFormat="1" ht="13.5" x14ac:dyDescent="0.25">
      <c r="A7" s="209" t="s">
        <v>539</v>
      </c>
    </row>
    <row r="8" spans="1:24" x14ac:dyDescent="0.2">
      <c r="A8" s="155"/>
      <c r="B8" s="156"/>
      <c r="C8" s="157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</row>
    <row r="9" spans="1:24" s="154" customFormat="1" x14ac:dyDescent="0.2">
      <c r="A9" s="155"/>
      <c r="B9" s="156" t="s">
        <v>741</v>
      </c>
      <c r="C9" s="157"/>
    </row>
    <row r="10" spans="1:24" s="295" customFormat="1" x14ac:dyDescent="0.2">
      <c r="A10" s="345"/>
      <c r="B10" s="346"/>
      <c r="E10" s="295" t="str">
        <f xml:space="preserve"> 'Abatements and deferrals'!E$147</f>
        <v>Payments after abatements and deferrals and other bespoke adjustments - wastewater network plus</v>
      </c>
      <c r="F10" s="295">
        <f xml:space="preserve"> 'Abatements and deferrals'!F$147</f>
        <v>-16.892210759495828</v>
      </c>
      <c r="G10" s="295" t="str">
        <f xml:space="preserve"> 'Abatements and deferrals'!G$147</f>
        <v>£m (2017-18 FYA CPIH prices)</v>
      </c>
      <c r="H10" s="295">
        <f xml:space="preserve"> 'Abatements and deferrals'!H$147</f>
        <v>0</v>
      </c>
      <c r="I10" s="295">
        <f xml:space="preserve"> 'Abatements and deferrals'!I$147</f>
        <v>0</v>
      </c>
    </row>
    <row r="11" spans="1:24" s="154" customFormat="1" x14ac:dyDescent="0.2">
      <c r="A11" s="155"/>
      <c r="B11" s="156"/>
      <c r="C11" s="157"/>
      <c r="E11" s="291"/>
      <c r="G11" s="291"/>
      <c r="H11" s="291"/>
    </row>
    <row r="12" spans="1:24" s="154" customFormat="1" x14ac:dyDescent="0.2">
      <c r="A12" s="155"/>
      <c r="B12" s="156" t="s">
        <v>742</v>
      </c>
      <c r="C12" s="157"/>
    </row>
    <row r="13" spans="1:24" s="154" customFormat="1" x14ac:dyDescent="0.2">
      <c r="A13" s="155"/>
      <c r="B13" s="156"/>
      <c r="C13" s="157"/>
    </row>
    <row r="14" spans="1:24" s="160" customFormat="1" x14ac:dyDescent="0.2">
      <c r="A14" s="158"/>
      <c r="B14" s="159"/>
      <c r="E14" s="295" t="str">
        <f xml:space="preserve"> InpActive!E$12</f>
        <v>Reporting year</v>
      </c>
      <c r="F14" s="295" t="str">
        <f xml:space="preserve"> InpActive!F$12</f>
        <v>2024-25</v>
      </c>
      <c r="G14" s="295" t="str">
        <f xml:space="preserve"> InpActive!G$12</f>
        <v>Financial year</v>
      </c>
    </row>
    <row r="15" spans="1:24" s="154" customFormat="1" x14ac:dyDescent="0.2">
      <c r="A15" s="155"/>
      <c r="B15" s="156"/>
      <c r="C15" s="157"/>
      <c r="E15" s="154" t="s">
        <v>743</v>
      </c>
      <c r="F15" s="215">
        <f>_xlfn.NUMBERVALUE(CONCATENATE(20,RIGHT(F14,2)))</f>
        <v>2025</v>
      </c>
    </row>
    <row r="16" spans="1:24" s="160" customFormat="1" x14ac:dyDescent="0.2">
      <c r="A16" s="158"/>
      <c r="B16" s="159"/>
      <c r="E16" s="171" t="str">
        <f xml:space="preserve"> Time!E$106</f>
        <v>Financial Year Ending</v>
      </c>
      <c r="F16" s="169">
        <f xml:space="preserve"> Time!F$106</f>
        <v>0</v>
      </c>
      <c r="G16" s="169" t="str">
        <f xml:space="preserve"> Time!G$106</f>
        <v>year #</v>
      </c>
      <c r="H16" s="169">
        <f xml:space="preserve"> Time!H$106</f>
        <v>0</v>
      </c>
      <c r="I16" s="169">
        <f xml:space="preserve"> Time!I$106</f>
        <v>0</v>
      </c>
      <c r="J16" s="214">
        <f xml:space="preserve"> Time!J$106</f>
        <v>2016</v>
      </c>
      <c r="K16" s="214">
        <f xml:space="preserve"> Time!K$106</f>
        <v>2017</v>
      </c>
      <c r="L16" s="214">
        <f xml:space="preserve"> Time!L$106</f>
        <v>2018</v>
      </c>
      <c r="M16" s="214">
        <f xml:space="preserve"> Time!M$106</f>
        <v>2019</v>
      </c>
      <c r="N16" s="214">
        <f xml:space="preserve"> Time!N$106</f>
        <v>2020</v>
      </c>
      <c r="O16" s="214">
        <f xml:space="preserve"> Time!O$106</f>
        <v>2021</v>
      </c>
      <c r="P16" s="214">
        <f xml:space="preserve"> Time!P$106</f>
        <v>2022</v>
      </c>
      <c r="Q16" s="214">
        <f xml:space="preserve"> Time!Q$106</f>
        <v>2023</v>
      </c>
      <c r="R16" s="214">
        <f xml:space="preserve"> Time!R$106</f>
        <v>2024</v>
      </c>
      <c r="S16" s="214">
        <f xml:space="preserve"> Time!S$106</f>
        <v>2025</v>
      </c>
      <c r="T16" s="214">
        <f xml:space="preserve"> Time!T$106</f>
        <v>2026</v>
      </c>
      <c r="U16" s="214">
        <f xml:space="preserve"> Time!U$106</f>
        <v>2027</v>
      </c>
      <c r="V16" s="214">
        <f xml:space="preserve"> Time!V$106</f>
        <v>2028</v>
      </c>
      <c r="W16" s="214">
        <f xml:space="preserve"> Time!W$106</f>
        <v>2029</v>
      </c>
      <c r="X16" s="214">
        <f xml:space="preserve"> Time!X$106</f>
        <v>2030</v>
      </c>
    </row>
    <row r="17" spans="1:24" s="154" customFormat="1" x14ac:dyDescent="0.2">
      <c r="A17" s="155"/>
      <c r="B17" s="156"/>
      <c r="C17" s="157"/>
      <c r="E17" s="154" t="s">
        <v>744</v>
      </c>
      <c r="G17" s="154" t="s">
        <v>644</v>
      </c>
      <c r="J17" s="170">
        <f xml:space="preserve"> IF( J16 = $F15, 1, 0 )</f>
        <v>0</v>
      </c>
      <c r="K17" s="170">
        <f t="shared" ref="K17:T17" si="0" xml:space="preserve"> IF( K16 = $F15, 1, 0 )</f>
        <v>0</v>
      </c>
      <c r="L17" s="170">
        <f t="shared" si="0"/>
        <v>0</v>
      </c>
      <c r="M17" s="170">
        <f t="shared" si="0"/>
        <v>0</v>
      </c>
      <c r="N17" s="170">
        <f t="shared" si="0"/>
        <v>0</v>
      </c>
      <c r="O17" s="170">
        <f t="shared" si="0"/>
        <v>0</v>
      </c>
      <c r="P17" s="170">
        <f t="shared" si="0"/>
        <v>0</v>
      </c>
      <c r="Q17" s="170">
        <f t="shared" si="0"/>
        <v>0</v>
      </c>
      <c r="R17" s="170">
        <f t="shared" si="0"/>
        <v>0</v>
      </c>
      <c r="S17" s="170">
        <f t="shared" si="0"/>
        <v>1</v>
      </c>
      <c r="T17" s="170">
        <f t="shared" si="0"/>
        <v>0</v>
      </c>
      <c r="U17" s="170">
        <f t="shared" ref="U17:V17" si="1" xml:space="preserve"> IF( U16 = $F15, 1, 0 )</f>
        <v>0</v>
      </c>
      <c r="V17" s="170">
        <f t="shared" si="1"/>
        <v>0</v>
      </c>
      <c r="W17" s="170">
        <f t="shared" ref="W17:X17" si="2" xml:space="preserve"> IF( W16 = $F15, 1, 0 )</f>
        <v>0</v>
      </c>
      <c r="X17" s="170">
        <f t="shared" si="2"/>
        <v>0</v>
      </c>
    </row>
    <row r="18" spans="1:24" s="154" customFormat="1" x14ac:dyDescent="0.2">
      <c r="A18" s="155"/>
      <c r="B18" s="156"/>
      <c r="C18" s="157"/>
      <c r="E18" s="154" t="s">
        <v>745</v>
      </c>
      <c r="G18" s="154" t="s">
        <v>644</v>
      </c>
      <c r="J18" s="170">
        <f xml:space="preserve"> IF( H17 = 1, 1, 0 )</f>
        <v>0</v>
      </c>
      <c r="K18" s="170">
        <f t="shared" ref="K18:X18" si="3" xml:space="preserve"> IF( I17 = 1, 1, 0 )</f>
        <v>0</v>
      </c>
      <c r="L18" s="170">
        <f t="shared" si="3"/>
        <v>0</v>
      </c>
      <c r="M18" s="170">
        <f t="shared" si="3"/>
        <v>0</v>
      </c>
      <c r="N18" s="170">
        <f t="shared" si="3"/>
        <v>0</v>
      </c>
      <c r="O18" s="170">
        <f t="shared" si="3"/>
        <v>0</v>
      </c>
      <c r="P18" s="170">
        <f t="shared" si="3"/>
        <v>0</v>
      </c>
      <c r="Q18" s="170">
        <f t="shared" si="3"/>
        <v>0</v>
      </c>
      <c r="R18" s="170">
        <f t="shared" si="3"/>
        <v>0</v>
      </c>
      <c r="S18" s="170">
        <f t="shared" si="3"/>
        <v>0</v>
      </c>
      <c r="T18" s="170">
        <f t="shared" si="3"/>
        <v>0</v>
      </c>
      <c r="U18" s="170">
        <f t="shared" si="3"/>
        <v>1</v>
      </c>
      <c r="V18" s="170">
        <f t="shared" si="3"/>
        <v>0</v>
      </c>
      <c r="W18" s="170">
        <f t="shared" si="3"/>
        <v>0</v>
      </c>
      <c r="X18" s="170">
        <f t="shared" si="3"/>
        <v>0</v>
      </c>
    </row>
    <row r="19" spans="1:24" s="154" customFormat="1" x14ac:dyDescent="0.2">
      <c r="A19" s="155"/>
      <c r="B19" s="156"/>
      <c r="C19" s="157"/>
    </row>
    <row r="20" spans="1:24" s="291" customFormat="1" x14ac:dyDescent="0.2">
      <c r="A20" s="155"/>
      <c r="B20" s="156"/>
      <c r="C20" s="157"/>
      <c r="D20" s="154"/>
      <c r="E20" s="291" t="str">
        <f xml:space="preserve"> E10</f>
        <v>Payments after abatements and deferrals and other bespoke adjustments - wastewater network plus</v>
      </c>
      <c r="F20" s="154"/>
      <c r="G20" s="291" t="str">
        <f xml:space="preserve"> G10</f>
        <v>£m (2017-18 FYA CPIH prices)</v>
      </c>
      <c r="H20" s="154"/>
      <c r="I20" s="154"/>
      <c r="J20" s="291">
        <f t="shared" ref="J20:T20" si="4" xml:space="preserve"> IF( J18 = 1, $F10, 0 )</f>
        <v>0</v>
      </c>
      <c r="K20" s="291">
        <f t="shared" si="4"/>
        <v>0</v>
      </c>
      <c r="L20" s="291">
        <f t="shared" si="4"/>
        <v>0</v>
      </c>
      <c r="M20" s="291">
        <f t="shared" si="4"/>
        <v>0</v>
      </c>
      <c r="N20" s="291">
        <f t="shared" si="4"/>
        <v>0</v>
      </c>
      <c r="O20" s="291">
        <f t="shared" si="4"/>
        <v>0</v>
      </c>
      <c r="P20" s="291">
        <f t="shared" si="4"/>
        <v>0</v>
      </c>
      <c r="Q20" s="291">
        <f t="shared" si="4"/>
        <v>0</v>
      </c>
      <c r="R20" s="291">
        <f t="shared" si="4"/>
        <v>0</v>
      </c>
      <c r="S20" s="291">
        <f xml:space="preserve"> IF( S18 = 1, $F10, 0 )</f>
        <v>0</v>
      </c>
      <c r="T20" s="291">
        <f t="shared" si="4"/>
        <v>0</v>
      </c>
      <c r="U20" s="291">
        <f t="shared" ref="U20:V20" si="5" xml:space="preserve"> IF( U18 = 1, $F10, 0 )</f>
        <v>-16.892210759495828</v>
      </c>
      <c r="V20" s="291">
        <f t="shared" si="5"/>
        <v>0</v>
      </c>
      <c r="W20" s="291">
        <f t="shared" ref="W20:X20" si="6" xml:space="preserve"> IF( W18 = 1, $F10, 0 )</f>
        <v>0</v>
      </c>
      <c r="X20" s="291">
        <f t="shared" si="6"/>
        <v>0</v>
      </c>
    </row>
    <row r="21" spans="1:24" x14ac:dyDescent="0.2">
      <c r="A21" s="155"/>
      <c r="B21" s="156"/>
      <c r="C21" s="157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</row>
    <row r="22" spans="1:24" s="209" customFormat="1" ht="13.5" x14ac:dyDescent="0.25">
      <c r="A22" s="209" t="s">
        <v>746</v>
      </c>
    </row>
    <row r="23" spans="1:24" x14ac:dyDescent="0.2">
      <c r="B23" s="97"/>
      <c r="E23" s="91"/>
    </row>
    <row r="24" spans="1:24" s="154" customFormat="1" x14ac:dyDescent="0.2">
      <c r="A24" s="155"/>
      <c r="B24" s="156"/>
      <c r="E24" s="295" t="str">
        <f xml:space="preserve"> InpActive!E$122</f>
        <v>Allowed revenue starting point in FD24 - wastewater network plus</v>
      </c>
      <c r="F24" s="295">
        <f xml:space="preserve"> InpActive!F$122</f>
        <v>0</v>
      </c>
      <c r="G24" s="295" t="str">
        <f xml:space="preserve"> InpActive!G$122</f>
        <v>£m (nominal)</v>
      </c>
      <c r="H24" s="295">
        <f xml:space="preserve"> InpActive!H$122</f>
        <v>0</v>
      </c>
      <c r="I24" s="295">
        <f xml:space="preserve"> InpActive!I$122</f>
        <v>0</v>
      </c>
      <c r="J24" s="295">
        <f xml:space="preserve"> InpActive!J$122</f>
        <v>0</v>
      </c>
      <c r="K24" s="295">
        <f xml:space="preserve"> InpActive!K$122</f>
        <v>0</v>
      </c>
      <c r="L24" s="295">
        <f xml:space="preserve"> InpActive!L$122</f>
        <v>0</v>
      </c>
      <c r="M24" s="295">
        <f xml:space="preserve"> InpActive!M$122</f>
        <v>0</v>
      </c>
      <c r="N24" s="295">
        <f xml:space="preserve"> InpActive!N$122</f>
        <v>0</v>
      </c>
      <c r="O24" s="295">
        <f xml:space="preserve"> InpActive!O$122</f>
        <v>0</v>
      </c>
      <c r="P24" s="295">
        <f xml:space="preserve"> InpActive!P$122</f>
        <v>0</v>
      </c>
      <c r="Q24" s="295">
        <f xml:space="preserve"> InpActive!Q$122</f>
        <v>0</v>
      </c>
      <c r="R24" s="295">
        <f xml:space="preserve"> InpActive!R$122</f>
        <v>0</v>
      </c>
      <c r="S24" s="295">
        <f xml:space="preserve"> InpActive!S$122</f>
        <v>0</v>
      </c>
      <c r="T24" s="295">
        <f xml:space="preserve"> InpActive!T$122</f>
        <v>0</v>
      </c>
      <c r="U24" s="295">
        <f xml:space="preserve"> InpActive!U$122</f>
        <v>0</v>
      </c>
      <c r="V24" s="295">
        <f xml:space="preserve"> InpActive!V$122</f>
        <v>0</v>
      </c>
      <c r="W24" s="295">
        <f xml:space="preserve"> InpActive!W$122</f>
        <v>0</v>
      </c>
      <c r="X24" s="295">
        <f xml:space="preserve"> InpActive!X$122</f>
        <v>0</v>
      </c>
    </row>
    <row r="25" spans="1:24" s="154" customFormat="1" x14ac:dyDescent="0.2">
      <c r="A25" s="155"/>
      <c r="B25" s="156"/>
      <c r="E25" s="154" t="str">
        <f>E24</f>
        <v>Allowed revenue starting point in FD24 - wastewater network plus</v>
      </c>
      <c r="H25" s="154">
        <f xml:space="preserve"> SUM( J24:T24 )</f>
        <v>0</v>
      </c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</row>
    <row r="26" spans="1:24" s="170" customFormat="1" x14ac:dyDescent="0.2">
      <c r="A26" s="204"/>
      <c r="B26" s="205"/>
      <c r="C26" s="206"/>
      <c r="E26" s="171" t="str">
        <f xml:space="preserve"> Time!E$45</f>
        <v>1st Forecast Period Flag</v>
      </c>
      <c r="F26" s="169">
        <f xml:space="preserve"> Time!F$45</f>
        <v>0</v>
      </c>
      <c r="G26" s="169" t="str">
        <f xml:space="preserve"> Time!G$45</f>
        <v>flag</v>
      </c>
      <c r="H26" s="169">
        <f xml:space="preserve"> Time!H$45</f>
        <v>1</v>
      </c>
      <c r="I26" s="169">
        <f xml:space="preserve"> Time!I$45</f>
        <v>0</v>
      </c>
      <c r="J26" s="169">
        <f xml:space="preserve"> Time!J$45</f>
        <v>0</v>
      </c>
      <c r="K26" s="169">
        <f xml:space="preserve"> Time!K$45</f>
        <v>0</v>
      </c>
      <c r="L26" s="169">
        <f xml:space="preserve"> Time!L$45</f>
        <v>0</v>
      </c>
      <c r="M26" s="169">
        <f xml:space="preserve"> Time!M$45</f>
        <v>0</v>
      </c>
      <c r="N26" s="169">
        <f xml:space="preserve"> Time!N$45</f>
        <v>0</v>
      </c>
      <c r="O26" s="169">
        <f xml:space="preserve"> Time!O$45</f>
        <v>0</v>
      </c>
      <c r="P26" s="169">
        <f xml:space="preserve"> Time!P$45</f>
        <v>0</v>
      </c>
      <c r="Q26" s="169">
        <f xml:space="preserve"> Time!Q$45</f>
        <v>0</v>
      </c>
      <c r="R26" s="169">
        <f xml:space="preserve"> Time!R$45</f>
        <v>0</v>
      </c>
      <c r="S26" s="169">
        <f xml:space="preserve"> Time!S$45</f>
        <v>0</v>
      </c>
      <c r="T26" s="169">
        <f xml:space="preserve"> Time!T$45</f>
        <v>1</v>
      </c>
      <c r="U26" s="169">
        <f xml:space="preserve"> Time!U$45</f>
        <v>0</v>
      </c>
      <c r="V26" s="169">
        <f xml:space="preserve"> Time!V$45</f>
        <v>0</v>
      </c>
      <c r="W26" s="169">
        <f xml:space="preserve"> Time!W$45</f>
        <v>0</v>
      </c>
      <c r="X26" s="169">
        <f xml:space="preserve"> Time!X$45</f>
        <v>0</v>
      </c>
    </row>
    <row r="27" spans="1:24" s="88" customFormat="1" x14ac:dyDescent="0.2">
      <c r="A27" s="96"/>
      <c r="B27" s="97"/>
      <c r="C27" s="98"/>
      <c r="E27" s="316" t="str">
        <f xml:space="preserve"> InpActive!E$123</f>
        <v>K factors (last determined) - wastewater network plus</v>
      </c>
      <c r="F27" s="316">
        <f xml:space="preserve"> InpActive!F$123</f>
        <v>0</v>
      </c>
      <c r="G27" s="316" t="str">
        <f xml:space="preserve"> InpActive!G$123</f>
        <v>Number</v>
      </c>
      <c r="H27" s="316">
        <f xml:space="preserve"> InpActive!H$123</f>
        <v>0</v>
      </c>
      <c r="I27" s="316">
        <f xml:space="preserve"> InpActive!I$123</f>
        <v>0</v>
      </c>
      <c r="J27" s="295">
        <f xml:space="preserve"> InpActive!J$123</f>
        <v>0</v>
      </c>
      <c r="K27" s="295">
        <f xml:space="preserve"> InpActive!K$123</f>
        <v>0</v>
      </c>
      <c r="L27" s="295">
        <f xml:space="preserve"> InpActive!L$123</f>
        <v>0</v>
      </c>
      <c r="M27" s="295">
        <f xml:space="preserve"> InpActive!M$123</f>
        <v>0</v>
      </c>
      <c r="N27" s="295">
        <f xml:space="preserve"> InpActive!N$123</f>
        <v>0</v>
      </c>
      <c r="O27" s="295">
        <f xml:space="preserve"> InpActive!O$123</f>
        <v>0</v>
      </c>
      <c r="P27" s="295">
        <f xml:space="preserve"> InpActive!P$123</f>
        <v>0</v>
      </c>
      <c r="Q27" s="295">
        <f xml:space="preserve"> InpActive!Q$123</f>
        <v>0</v>
      </c>
      <c r="R27" s="295">
        <f xml:space="preserve"> InpActive!R$123</f>
        <v>0</v>
      </c>
      <c r="S27" s="295">
        <f xml:space="preserve"> InpActive!S$123</f>
        <v>0</v>
      </c>
      <c r="T27" s="295">
        <f xml:space="preserve"> InpActive!T$123</f>
        <v>0</v>
      </c>
      <c r="U27" s="295">
        <f xml:space="preserve"> InpActive!U$123</f>
        <v>0</v>
      </c>
      <c r="V27" s="295">
        <f xml:space="preserve"> InpActive!V$123</f>
        <v>0</v>
      </c>
      <c r="W27" s="295">
        <f xml:space="preserve"> InpActive!W$123</f>
        <v>0</v>
      </c>
      <c r="X27" s="295">
        <f xml:space="preserve"> InpActive!X$123</f>
        <v>0</v>
      </c>
    </row>
    <row r="28" spans="1:24" x14ac:dyDescent="0.2">
      <c r="B28" s="97"/>
      <c r="E28" s="95" t="s">
        <v>747</v>
      </c>
      <c r="F28" s="95"/>
      <c r="G28" s="95" t="s">
        <v>583</v>
      </c>
      <c r="H28" s="95"/>
      <c r="I28" s="95"/>
      <c r="J28" s="95">
        <f>J27/100</f>
        <v>0</v>
      </c>
      <c r="K28" s="95">
        <f t="shared" ref="K28:T28" si="7">K27/100</f>
        <v>0</v>
      </c>
      <c r="L28" s="95">
        <f t="shared" si="7"/>
        <v>0</v>
      </c>
      <c r="M28" s="95">
        <f t="shared" si="7"/>
        <v>0</v>
      </c>
      <c r="N28" s="95">
        <f t="shared" si="7"/>
        <v>0</v>
      </c>
      <c r="O28" s="95">
        <f t="shared" si="7"/>
        <v>0</v>
      </c>
      <c r="P28" s="95">
        <f t="shared" si="7"/>
        <v>0</v>
      </c>
      <c r="Q28" s="95">
        <f t="shared" si="7"/>
        <v>0</v>
      </c>
      <c r="R28" s="95">
        <f t="shared" si="7"/>
        <v>0</v>
      </c>
      <c r="S28" s="95">
        <f t="shared" si="7"/>
        <v>0</v>
      </c>
      <c r="T28" s="95">
        <f t="shared" si="7"/>
        <v>0</v>
      </c>
      <c r="U28" s="95">
        <f t="shared" ref="U28:V28" si="8">U27/100</f>
        <v>0</v>
      </c>
      <c r="V28" s="95">
        <f t="shared" si="8"/>
        <v>0</v>
      </c>
      <c r="W28" s="95">
        <f t="shared" ref="W28:X28" si="9">W27/100</f>
        <v>0</v>
      </c>
      <c r="X28" s="95">
        <f t="shared" si="9"/>
        <v>0</v>
      </c>
    </row>
    <row r="29" spans="1:24" s="151" customFormat="1" x14ac:dyDescent="0.2">
      <c r="A29" s="202"/>
      <c r="B29" s="203"/>
      <c r="E29" s="298" t="str">
        <f xml:space="preserve"> Index!E$12</f>
        <v>November CPIH annual inflation figures</v>
      </c>
      <c r="F29" s="298">
        <f xml:space="preserve"> Index!F$12</f>
        <v>0</v>
      </c>
      <c r="G29" s="298" t="str">
        <f xml:space="preserve"> Index!G$12</f>
        <v>Percentage</v>
      </c>
      <c r="H29" s="298">
        <f xml:space="preserve"> Index!H$12</f>
        <v>0</v>
      </c>
      <c r="I29" s="298">
        <f xml:space="preserve"> Index!I$12</f>
        <v>0</v>
      </c>
      <c r="J29" s="298">
        <f xml:space="preserve"> Index!J$12</f>
        <v>0</v>
      </c>
      <c r="K29" s="298">
        <f xml:space="preserve"> Index!K$12</f>
        <v>0</v>
      </c>
      <c r="L29" s="298">
        <f xml:space="preserve"> Index!L$12</f>
        <v>1.4955134596211339E-2</v>
      </c>
      <c r="M29" s="298">
        <f xml:space="preserve"> Index!M$12</f>
        <v>0</v>
      </c>
      <c r="N29" s="298">
        <f xml:space="preserve"> Index!N$12</f>
        <v>0</v>
      </c>
      <c r="O29" s="298">
        <f xml:space="preserve"> Index!O$12</f>
        <v>0</v>
      </c>
      <c r="P29" s="298">
        <f xml:space="preserve"> Index!P$12</f>
        <v>0</v>
      </c>
      <c r="Q29" s="298">
        <f xml:space="preserve"> Index!Q$12</f>
        <v>0</v>
      </c>
      <c r="R29" s="298">
        <f xml:space="preserve"> Index!R$12</f>
        <v>0</v>
      </c>
      <c r="S29" s="298">
        <f xml:space="preserve"> Index!S$12</f>
        <v>0</v>
      </c>
      <c r="T29" s="298">
        <f xml:space="preserve"> Index!T$12</f>
        <v>0</v>
      </c>
      <c r="U29" s="298">
        <f xml:space="preserve"> Index!U$12</f>
        <v>0</v>
      </c>
      <c r="V29" s="298">
        <f xml:space="preserve"> Index!V$12</f>
        <v>0</v>
      </c>
      <c r="W29" s="298">
        <f xml:space="preserve"> Index!W$12</f>
        <v>0</v>
      </c>
      <c r="X29" s="298">
        <f xml:space="preserve"> Index!X$12</f>
        <v>0</v>
      </c>
    </row>
    <row r="30" spans="1:24" s="154" customFormat="1" x14ac:dyDescent="0.2">
      <c r="A30" s="155"/>
      <c r="B30" s="156"/>
      <c r="E30" s="154" t="s">
        <v>748</v>
      </c>
      <c r="G30" s="154" t="s">
        <v>602</v>
      </c>
      <c r="H30" s="154">
        <f xml:space="preserve"> SUM( J30:T30 )</f>
        <v>0</v>
      </c>
      <c r="J30" s="154">
        <f t="shared" ref="J30:X30" si="10" xml:space="preserve"> IF(J26=1, $H25 * (1+J29+J28), I30 *  (1+J29+J28))</f>
        <v>0</v>
      </c>
      <c r="K30" s="154">
        <f t="shared" si="10"/>
        <v>0</v>
      </c>
      <c r="L30" s="154">
        <f t="shared" si="10"/>
        <v>0</v>
      </c>
      <c r="M30" s="154">
        <f t="shared" si="10"/>
        <v>0</v>
      </c>
      <c r="N30" s="154">
        <f t="shared" si="10"/>
        <v>0</v>
      </c>
      <c r="O30" s="154">
        <f t="shared" si="10"/>
        <v>0</v>
      </c>
      <c r="P30" s="154">
        <f t="shared" si="10"/>
        <v>0</v>
      </c>
      <c r="Q30" s="154">
        <f t="shared" si="10"/>
        <v>0</v>
      </c>
      <c r="R30" s="154">
        <f t="shared" si="10"/>
        <v>0</v>
      </c>
      <c r="S30" s="154">
        <f t="shared" si="10"/>
        <v>0</v>
      </c>
      <c r="T30" s="154">
        <f t="shared" si="10"/>
        <v>0</v>
      </c>
      <c r="U30" s="154">
        <f t="shared" si="10"/>
        <v>0</v>
      </c>
      <c r="V30" s="154">
        <f t="shared" si="10"/>
        <v>0</v>
      </c>
      <c r="W30" s="154">
        <f t="shared" si="10"/>
        <v>0</v>
      </c>
      <c r="X30" s="154">
        <f t="shared" si="10"/>
        <v>0</v>
      </c>
    </row>
    <row r="31" spans="1:24" x14ac:dyDescent="0.2">
      <c r="B31" s="97"/>
      <c r="E31" s="91"/>
    </row>
    <row r="32" spans="1:24" s="154" customFormat="1" x14ac:dyDescent="0.2">
      <c r="A32" s="155"/>
      <c r="B32" s="156" t="s">
        <v>749</v>
      </c>
      <c r="C32" s="157"/>
    </row>
    <row r="33" spans="1:24" s="154" customFormat="1" x14ac:dyDescent="0.2">
      <c r="A33" s="155"/>
      <c r="B33" s="156"/>
      <c r="E33" s="154" t="str">
        <f xml:space="preserve"> E$20</f>
        <v>Payments after abatements and deferrals and other bespoke adjustments - wastewater network plus</v>
      </c>
      <c r="F33" s="154">
        <f t="shared" ref="F33:X33" si="11" xml:space="preserve"> F$20</f>
        <v>0</v>
      </c>
      <c r="G33" s="154" t="str">
        <f t="shared" si="11"/>
        <v>£m (2017-18 FYA CPIH prices)</v>
      </c>
      <c r="H33" s="154">
        <f t="shared" si="11"/>
        <v>0</v>
      </c>
      <c r="I33" s="154">
        <f t="shared" si="11"/>
        <v>0</v>
      </c>
      <c r="J33" s="154">
        <f t="shared" si="11"/>
        <v>0</v>
      </c>
      <c r="K33" s="154">
        <f t="shared" si="11"/>
        <v>0</v>
      </c>
      <c r="L33" s="154">
        <f t="shared" si="11"/>
        <v>0</v>
      </c>
      <c r="M33" s="154">
        <f t="shared" si="11"/>
        <v>0</v>
      </c>
      <c r="N33" s="154">
        <f t="shared" si="11"/>
        <v>0</v>
      </c>
      <c r="O33" s="154">
        <f t="shared" si="11"/>
        <v>0</v>
      </c>
      <c r="P33" s="154">
        <f t="shared" si="11"/>
        <v>0</v>
      </c>
      <c r="Q33" s="154">
        <f t="shared" si="11"/>
        <v>0</v>
      </c>
      <c r="R33" s="154">
        <f t="shared" si="11"/>
        <v>0</v>
      </c>
      <c r="S33" s="154">
        <f t="shared" si="11"/>
        <v>0</v>
      </c>
      <c r="T33" s="154">
        <f t="shared" si="11"/>
        <v>0</v>
      </c>
      <c r="U33" s="154">
        <f t="shared" si="11"/>
        <v>-16.892210759495828</v>
      </c>
      <c r="V33" s="154">
        <f t="shared" si="11"/>
        <v>0</v>
      </c>
      <c r="W33" s="154">
        <f t="shared" si="11"/>
        <v>0</v>
      </c>
      <c r="X33" s="154">
        <f t="shared" si="11"/>
        <v>0</v>
      </c>
    </row>
    <row r="34" spans="1:24" s="160" customFormat="1" x14ac:dyDescent="0.2">
      <c r="A34" s="158"/>
      <c r="B34" s="159"/>
      <c r="E34" s="298" t="str">
        <f xml:space="preserve"> Index!E$16</f>
        <v>November CPIH cumulative inflation factor</v>
      </c>
      <c r="F34" s="298">
        <f xml:space="preserve"> Index!F$16</f>
        <v>0</v>
      </c>
      <c r="G34" s="298" t="str">
        <f xml:space="preserve"> Index!G$16</f>
        <v>Percentage</v>
      </c>
      <c r="H34" s="298">
        <f xml:space="preserve"> Index!H$16</f>
        <v>0</v>
      </c>
      <c r="I34" s="298">
        <f xml:space="preserve"> Index!I$16</f>
        <v>0</v>
      </c>
      <c r="J34" s="298">
        <f xml:space="preserve"> Index!J$16</f>
        <v>0</v>
      </c>
      <c r="K34" s="298">
        <f xml:space="preserve"> Index!K$16</f>
        <v>0</v>
      </c>
      <c r="L34" s="298">
        <f xml:space="preserve"> Index!L$16</f>
        <v>1</v>
      </c>
      <c r="M34" s="298">
        <f xml:space="preserve"> Index!M$16</f>
        <v>1</v>
      </c>
      <c r="N34" s="298">
        <f xml:space="preserve"> Index!N$16</f>
        <v>1</v>
      </c>
      <c r="O34" s="298">
        <f xml:space="preserve"> Index!O$16</f>
        <v>1</v>
      </c>
      <c r="P34" s="298">
        <f xml:space="preserve"> Index!P$16</f>
        <v>1</v>
      </c>
      <c r="Q34" s="298">
        <f xml:space="preserve"> Index!Q$16</f>
        <v>1</v>
      </c>
      <c r="R34" s="298">
        <f xml:space="preserve"> Index!R$16</f>
        <v>1</v>
      </c>
      <c r="S34" s="298">
        <f xml:space="preserve"> Index!S$16</f>
        <v>1</v>
      </c>
      <c r="T34" s="298">
        <f xml:space="preserve"> Index!T$16</f>
        <v>1</v>
      </c>
      <c r="U34" s="298">
        <f xml:space="preserve"> Index!U$16</f>
        <v>1</v>
      </c>
      <c r="V34" s="298">
        <f xml:space="preserve"> Index!V$16</f>
        <v>1</v>
      </c>
      <c r="W34" s="298">
        <f xml:space="preserve"> Index!W$16</f>
        <v>1</v>
      </c>
      <c r="X34" s="298">
        <f xml:space="preserve"> Index!X$16</f>
        <v>1</v>
      </c>
    </row>
    <row r="35" spans="1:24" s="154" customFormat="1" x14ac:dyDescent="0.2">
      <c r="A35" s="155"/>
      <c r="B35" s="156"/>
      <c r="C35" s="157"/>
      <c r="E35" s="154" t="s">
        <v>750</v>
      </c>
      <c r="G35" s="154" t="s">
        <v>602</v>
      </c>
      <c r="H35" s="154">
        <f xml:space="preserve"> SUM( J35:T35 )</f>
        <v>0</v>
      </c>
      <c r="J35" s="154">
        <f t="shared" ref="J35:P35" si="12" xml:space="preserve"> J33 * J34</f>
        <v>0</v>
      </c>
      <c r="K35" s="154">
        <f t="shared" si="12"/>
        <v>0</v>
      </c>
      <c r="L35" s="154">
        <f t="shared" si="12"/>
        <v>0</v>
      </c>
      <c r="M35" s="154">
        <f t="shared" si="12"/>
        <v>0</v>
      </c>
      <c r="N35" s="154">
        <f t="shared" si="12"/>
        <v>0</v>
      </c>
      <c r="O35" s="154">
        <f t="shared" si="12"/>
        <v>0</v>
      </c>
      <c r="P35" s="154">
        <f t="shared" si="12"/>
        <v>0</v>
      </c>
      <c r="Q35" s="154">
        <f t="shared" ref="Q35:V35" si="13" xml:space="preserve"> Q33 * Q34</f>
        <v>0</v>
      </c>
      <c r="R35" s="154">
        <f t="shared" si="13"/>
        <v>0</v>
      </c>
      <c r="S35" s="154">
        <f t="shared" si="13"/>
        <v>0</v>
      </c>
      <c r="T35" s="154">
        <f t="shared" si="13"/>
        <v>0</v>
      </c>
      <c r="U35" s="154">
        <f t="shared" si="13"/>
        <v>-16.892210759495828</v>
      </c>
      <c r="V35" s="154">
        <f t="shared" si="13"/>
        <v>0</v>
      </c>
      <c r="W35" s="154">
        <f t="shared" ref="W35:X35" si="14" xml:space="preserve"> W33 * W34</f>
        <v>0</v>
      </c>
      <c r="X35" s="154">
        <f t="shared" si="14"/>
        <v>0</v>
      </c>
    </row>
    <row r="36" spans="1:24" s="154" customFormat="1" x14ac:dyDescent="0.2">
      <c r="A36" s="155"/>
      <c r="B36" s="156"/>
      <c r="C36" s="157"/>
    </row>
    <row r="37" spans="1:24" s="154" customFormat="1" x14ac:dyDescent="0.2">
      <c r="A37" s="155"/>
      <c r="B37" s="156" t="s">
        <v>751</v>
      </c>
      <c r="C37" s="157"/>
    </row>
    <row r="38" spans="1:24" s="160" customFormat="1" x14ac:dyDescent="0.2">
      <c r="A38" s="158"/>
      <c r="B38" s="156"/>
      <c r="E38" s="298" t="str">
        <f xml:space="preserve"> InpActive!E$90</f>
        <v>Marginal tax rate</v>
      </c>
      <c r="F38" s="298">
        <f xml:space="preserve"> InpActive!F$90</f>
        <v>0</v>
      </c>
      <c r="G38" s="298" t="str">
        <f xml:space="preserve"> InpActive!G$90</f>
        <v>Percentage</v>
      </c>
      <c r="H38" s="298">
        <f xml:space="preserve"> InpActive!H$90</f>
        <v>0</v>
      </c>
      <c r="I38" s="298">
        <f xml:space="preserve"> InpActive!I$90</f>
        <v>0</v>
      </c>
      <c r="J38" s="298">
        <f xml:space="preserve"> InpActive!J$90</f>
        <v>0</v>
      </c>
      <c r="K38" s="298">
        <f xml:space="preserve"> InpActive!K$90</f>
        <v>0</v>
      </c>
      <c r="L38" s="298">
        <f xml:space="preserve"> InpActive!L$90</f>
        <v>0</v>
      </c>
      <c r="M38" s="298">
        <f xml:space="preserve"> InpActive!M$90</f>
        <v>0</v>
      </c>
      <c r="N38" s="298">
        <f xml:space="preserve"> InpActive!N$90</f>
        <v>0</v>
      </c>
      <c r="O38" s="298">
        <f xml:space="preserve"> InpActive!O$90</f>
        <v>0</v>
      </c>
      <c r="P38" s="298">
        <f xml:space="preserve"> InpActive!P$90</f>
        <v>0</v>
      </c>
      <c r="Q38" s="298">
        <f xml:space="preserve"> InpActive!Q$90</f>
        <v>0</v>
      </c>
      <c r="R38" s="298">
        <f xml:space="preserve"> InpActive!R$90</f>
        <v>0</v>
      </c>
      <c r="S38" s="298">
        <f xml:space="preserve"> InpActive!S$90</f>
        <v>0</v>
      </c>
      <c r="T38" s="298">
        <f xml:space="preserve"> InpActive!T$90</f>
        <v>0</v>
      </c>
      <c r="U38" s="298">
        <f xml:space="preserve"> InpActive!U$90</f>
        <v>0</v>
      </c>
      <c r="V38" s="298">
        <f xml:space="preserve"> InpActive!V$90</f>
        <v>0</v>
      </c>
      <c r="W38" s="298">
        <f xml:space="preserve"> InpActive!W$90</f>
        <v>0</v>
      </c>
      <c r="X38" s="298">
        <f xml:space="preserve"> InpActive!X$90</f>
        <v>0</v>
      </c>
    </row>
    <row r="39" spans="1:24" s="95" customFormat="1" x14ac:dyDescent="0.2">
      <c r="A39" s="194"/>
      <c r="B39" s="195"/>
      <c r="E39" s="95" t="s">
        <v>752</v>
      </c>
      <c r="G39" s="95" t="s">
        <v>583</v>
      </c>
      <c r="J39" s="95">
        <f xml:space="preserve"> 1 / (1 - J38 ) - 1</f>
        <v>0</v>
      </c>
      <c r="K39" s="95">
        <f t="shared" ref="K39:T39" si="15" xml:space="preserve"> 1 / (1 - K38 ) - 1</f>
        <v>0</v>
      </c>
      <c r="L39" s="95">
        <f t="shared" si="15"/>
        <v>0</v>
      </c>
      <c r="M39" s="95">
        <f t="shared" si="15"/>
        <v>0</v>
      </c>
      <c r="N39" s="95">
        <f t="shared" si="15"/>
        <v>0</v>
      </c>
      <c r="O39" s="95">
        <f t="shared" si="15"/>
        <v>0</v>
      </c>
      <c r="P39" s="95">
        <f t="shared" si="15"/>
        <v>0</v>
      </c>
      <c r="Q39" s="95">
        <f t="shared" si="15"/>
        <v>0</v>
      </c>
      <c r="R39" s="95">
        <f t="shared" si="15"/>
        <v>0</v>
      </c>
      <c r="S39" s="95">
        <f t="shared" si="15"/>
        <v>0</v>
      </c>
      <c r="T39" s="95">
        <f t="shared" si="15"/>
        <v>0</v>
      </c>
      <c r="U39" s="95">
        <f t="shared" ref="U39:V39" si="16" xml:space="preserve"> 1 / (1 - U38 ) - 1</f>
        <v>0</v>
      </c>
      <c r="V39" s="95">
        <f t="shared" si="16"/>
        <v>0</v>
      </c>
      <c r="W39" s="95">
        <f t="shared" ref="W39:X39" si="17" xml:space="preserve"> 1 / (1 - W38 ) - 1</f>
        <v>0</v>
      </c>
      <c r="X39" s="95">
        <f t="shared" si="17"/>
        <v>0</v>
      </c>
    </row>
    <row r="40" spans="1:24" s="154" customFormat="1" x14ac:dyDescent="0.2">
      <c r="A40" s="155"/>
      <c r="B40" s="156"/>
      <c r="C40" s="157"/>
    </row>
    <row r="41" spans="1:24" s="154" customFormat="1" x14ac:dyDescent="0.2">
      <c r="A41" s="155"/>
      <c r="B41" s="156"/>
      <c r="C41" s="157"/>
      <c r="E41" s="154" t="str">
        <f t="shared" ref="E41:X41" si="18" xml:space="preserve"> E$35</f>
        <v>ODI value nominal prices</v>
      </c>
      <c r="F41" s="154">
        <f t="shared" si="18"/>
        <v>0</v>
      </c>
      <c r="G41" s="154" t="str">
        <f t="shared" si="18"/>
        <v>£m (nominal)</v>
      </c>
      <c r="H41" s="154">
        <f t="shared" si="18"/>
        <v>0</v>
      </c>
      <c r="I41" s="154">
        <f t="shared" si="18"/>
        <v>0</v>
      </c>
      <c r="J41" s="154">
        <f t="shared" si="18"/>
        <v>0</v>
      </c>
      <c r="K41" s="154">
        <f t="shared" si="18"/>
        <v>0</v>
      </c>
      <c r="L41" s="154">
        <f t="shared" si="18"/>
        <v>0</v>
      </c>
      <c r="M41" s="154">
        <f t="shared" si="18"/>
        <v>0</v>
      </c>
      <c r="N41" s="154">
        <f t="shared" si="18"/>
        <v>0</v>
      </c>
      <c r="O41" s="154">
        <f t="shared" si="18"/>
        <v>0</v>
      </c>
      <c r="P41" s="154">
        <f t="shared" si="18"/>
        <v>0</v>
      </c>
      <c r="Q41" s="154">
        <f t="shared" si="18"/>
        <v>0</v>
      </c>
      <c r="R41" s="154">
        <f t="shared" si="18"/>
        <v>0</v>
      </c>
      <c r="S41" s="154">
        <f t="shared" si="18"/>
        <v>0</v>
      </c>
      <c r="T41" s="154">
        <f t="shared" si="18"/>
        <v>0</v>
      </c>
      <c r="U41" s="154">
        <f t="shared" si="18"/>
        <v>-16.892210759495828</v>
      </c>
      <c r="V41" s="154">
        <f t="shared" si="18"/>
        <v>0</v>
      </c>
      <c r="W41" s="154">
        <f t="shared" si="18"/>
        <v>0</v>
      </c>
      <c r="X41" s="154">
        <f t="shared" si="18"/>
        <v>0</v>
      </c>
    </row>
    <row r="42" spans="1:24" s="95" customFormat="1" x14ac:dyDescent="0.2">
      <c r="A42" s="194"/>
      <c r="B42" s="195"/>
      <c r="E42" s="95" t="str">
        <f t="shared" ref="E42:X42" si="19" xml:space="preserve"> E$39</f>
        <v>Tax on Tax geometric uplift</v>
      </c>
      <c r="F42" s="95">
        <f t="shared" si="19"/>
        <v>0</v>
      </c>
      <c r="G42" s="95" t="str">
        <f t="shared" si="19"/>
        <v>Percentage</v>
      </c>
      <c r="H42" s="95">
        <f t="shared" si="19"/>
        <v>0</v>
      </c>
      <c r="I42" s="95">
        <f t="shared" si="19"/>
        <v>0</v>
      </c>
      <c r="J42" s="95">
        <f t="shared" si="19"/>
        <v>0</v>
      </c>
      <c r="K42" s="95">
        <f t="shared" si="19"/>
        <v>0</v>
      </c>
      <c r="L42" s="95">
        <f t="shared" si="19"/>
        <v>0</v>
      </c>
      <c r="M42" s="95">
        <f t="shared" si="19"/>
        <v>0</v>
      </c>
      <c r="N42" s="95">
        <f t="shared" si="19"/>
        <v>0</v>
      </c>
      <c r="O42" s="95">
        <f t="shared" si="19"/>
        <v>0</v>
      </c>
      <c r="P42" s="95">
        <f t="shared" si="19"/>
        <v>0</v>
      </c>
      <c r="Q42" s="95">
        <f t="shared" si="19"/>
        <v>0</v>
      </c>
      <c r="R42" s="95">
        <f t="shared" si="19"/>
        <v>0</v>
      </c>
      <c r="S42" s="95">
        <f t="shared" si="19"/>
        <v>0</v>
      </c>
      <c r="T42" s="95">
        <f t="shared" si="19"/>
        <v>0</v>
      </c>
      <c r="U42" s="95">
        <f t="shared" si="19"/>
        <v>0</v>
      </c>
      <c r="V42" s="95">
        <f t="shared" si="19"/>
        <v>0</v>
      </c>
      <c r="W42" s="95">
        <f t="shared" si="19"/>
        <v>0</v>
      </c>
      <c r="X42" s="95">
        <f t="shared" si="19"/>
        <v>0</v>
      </c>
    </row>
    <row r="43" spans="1:24" s="154" customFormat="1" x14ac:dyDescent="0.2">
      <c r="A43" s="155"/>
      <c r="B43" s="156"/>
      <c r="C43" s="157"/>
      <c r="E43" s="154" t="s">
        <v>753</v>
      </c>
      <c r="G43" s="154" t="s">
        <v>602</v>
      </c>
      <c r="H43" s="154">
        <f xml:space="preserve"> SUM( J43:T43 )</f>
        <v>0</v>
      </c>
      <c r="J43" s="154">
        <f t="shared" ref="J43:T43" si="20" xml:space="preserve"> J41 * J42</f>
        <v>0</v>
      </c>
      <c r="K43" s="154">
        <f t="shared" si="20"/>
        <v>0</v>
      </c>
      <c r="L43" s="154">
        <f t="shared" si="20"/>
        <v>0</v>
      </c>
      <c r="M43" s="154">
        <f t="shared" si="20"/>
        <v>0</v>
      </c>
      <c r="N43" s="154">
        <f t="shared" si="20"/>
        <v>0</v>
      </c>
      <c r="O43" s="154">
        <f t="shared" si="20"/>
        <v>0</v>
      </c>
      <c r="P43" s="154">
        <f t="shared" si="20"/>
        <v>0</v>
      </c>
      <c r="Q43" s="154">
        <f t="shared" si="20"/>
        <v>0</v>
      </c>
      <c r="R43" s="154">
        <f t="shared" si="20"/>
        <v>0</v>
      </c>
      <c r="S43" s="154">
        <f t="shared" si="20"/>
        <v>0</v>
      </c>
      <c r="T43" s="154">
        <f t="shared" si="20"/>
        <v>0</v>
      </c>
      <c r="U43" s="154">
        <f t="shared" ref="U43:V43" si="21" xml:space="preserve"> U41 * U42</f>
        <v>0</v>
      </c>
      <c r="V43" s="154">
        <f t="shared" si="21"/>
        <v>0</v>
      </c>
      <c r="W43" s="154">
        <f t="shared" ref="W43:X43" si="22" xml:space="preserve"> W41 * W42</f>
        <v>0</v>
      </c>
      <c r="X43" s="154">
        <f t="shared" si="22"/>
        <v>0</v>
      </c>
    </row>
    <row r="44" spans="1:24" s="154" customFormat="1" x14ac:dyDescent="0.2">
      <c r="A44" s="155"/>
      <c r="B44" s="156"/>
      <c r="C44" s="157"/>
    </row>
    <row r="45" spans="1:24" s="154" customFormat="1" x14ac:dyDescent="0.2">
      <c r="A45" s="155"/>
      <c r="B45" s="156"/>
      <c r="C45" s="157"/>
      <c r="E45" s="154" t="str">
        <f t="shared" ref="E45:X45" si="23" xml:space="preserve"> E$35</f>
        <v>ODI value nominal prices</v>
      </c>
      <c r="F45" s="154">
        <f t="shared" si="23"/>
        <v>0</v>
      </c>
      <c r="G45" s="154" t="str">
        <f t="shared" si="23"/>
        <v>£m (nominal)</v>
      </c>
      <c r="H45" s="154">
        <f t="shared" si="23"/>
        <v>0</v>
      </c>
      <c r="I45" s="154">
        <f t="shared" si="23"/>
        <v>0</v>
      </c>
      <c r="J45" s="162">
        <f t="shared" si="23"/>
        <v>0</v>
      </c>
      <c r="K45" s="162">
        <f t="shared" si="23"/>
        <v>0</v>
      </c>
      <c r="L45" s="162">
        <f t="shared" si="23"/>
        <v>0</v>
      </c>
      <c r="M45" s="162">
        <f t="shared" si="23"/>
        <v>0</v>
      </c>
      <c r="N45" s="162">
        <f t="shared" si="23"/>
        <v>0</v>
      </c>
      <c r="O45" s="162">
        <f t="shared" si="23"/>
        <v>0</v>
      </c>
      <c r="P45" s="162">
        <f t="shared" si="23"/>
        <v>0</v>
      </c>
      <c r="Q45" s="162">
        <f t="shared" si="23"/>
        <v>0</v>
      </c>
      <c r="R45" s="162">
        <f t="shared" si="23"/>
        <v>0</v>
      </c>
      <c r="S45" s="162">
        <f t="shared" si="23"/>
        <v>0</v>
      </c>
      <c r="T45" s="162">
        <f t="shared" si="23"/>
        <v>0</v>
      </c>
      <c r="U45" s="162">
        <f t="shared" si="23"/>
        <v>-16.892210759495828</v>
      </c>
      <c r="V45" s="162">
        <f t="shared" si="23"/>
        <v>0</v>
      </c>
      <c r="W45" s="162">
        <f t="shared" si="23"/>
        <v>0</v>
      </c>
      <c r="X45" s="162">
        <f t="shared" si="23"/>
        <v>0</v>
      </c>
    </row>
    <row r="46" spans="1:24" s="154" customFormat="1" x14ac:dyDescent="0.2">
      <c r="A46" s="155"/>
      <c r="B46" s="156"/>
      <c r="C46" s="157"/>
      <c r="E46" s="154" t="str">
        <f t="shared" ref="E46:X46" si="24" xml:space="preserve"> E$43</f>
        <v>Tax on nominal ODI</v>
      </c>
      <c r="F46" s="154">
        <f t="shared" si="24"/>
        <v>0</v>
      </c>
      <c r="G46" s="154" t="str">
        <f t="shared" si="24"/>
        <v>£m (nominal)</v>
      </c>
      <c r="H46" s="154">
        <f t="shared" si="24"/>
        <v>0</v>
      </c>
      <c r="I46" s="154">
        <f t="shared" si="24"/>
        <v>0</v>
      </c>
      <c r="J46" s="162">
        <f t="shared" si="24"/>
        <v>0</v>
      </c>
      <c r="K46" s="162">
        <f t="shared" si="24"/>
        <v>0</v>
      </c>
      <c r="L46" s="162">
        <f t="shared" si="24"/>
        <v>0</v>
      </c>
      <c r="M46" s="162">
        <f t="shared" si="24"/>
        <v>0</v>
      </c>
      <c r="N46" s="162">
        <f t="shared" si="24"/>
        <v>0</v>
      </c>
      <c r="O46" s="162">
        <f t="shared" si="24"/>
        <v>0</v>
      </c>
      <c r="P46" s="162">
        <f t="shared" si="24"/>
        <v>0</v>
      </c>
      <c r="Q46" s="162">
        <f t="shared" si="24"/>
        <v>0</v>
      </c>
      <c r="R46" s="162">
        <f t="shared" si="24"/>
        <v>0</v>
      </c>
      <c r="S46" s="162">
        <f t="shared" si="24"/>
        <v>0</v>
      </c>
      <c r="T46" s="162">
        <f t="shared" si="24"/>
        <v>0</v>
      </c>
      <c r="U46" s="162">
        <f t="shared" si="24"/>
        <v>0</v>
      </c>
      <c r="V46" s="162">
        <f t="shared" si="24"/>
        <v>0</v>
      </c>
      <c r="W46" s="162">
        <f t="shared" si="24"/>
        <v>0</v>
      </c>
      <c r="X46" s="162">
        <f t="shared" si="24"/>
        <v>0</v>
      </c>
    </row>
    <row r="47" spans="1:24" s="154" customFormat="1" x14ac:dyDescent="0.2">
      <c r="A47" s="155"/>
      <c r="B47" s="156"/>
      <c r="C47" s="157"/>
      <c r="E47" s="154" t="s">
        <v>754</v>
      </c>
      <c r="G47" s="154" t="s">
        <v>602</v>
      </c>
      <c r="H47" s="162">
        <f xml:space="preserve"> H45 + H46</f>
        <v>0</v>
      </c>
      <c r="J47" s="162">
        <f xml:space="preserve"> J45 + J46</f>
        <v>0</v>
      </c>
      <c r="K47" s="162">
        <f t="shared" ref="K47:T47" si="25" xml:space="preserve"> K45 + K46</f>
        <v>0</v>
      </c>
      <c r="L47" s="162">
        <f t="shared" si="25"/>
        <v>0</v>
      </c>
      <c r="M47" s="162">
        <f t="shared" si="25"/>
        <v>0</v>
      </c>
      <c r="N47" s="162">
        <f t="shared" si="25"/>
        <v>0</v>
      </c>
      <c r="O47" s="162">
        <f t="shared" si="25"/>
        <v>0</v>
      </c>
      <c r="P47" s="162">
        <f t="shared" si="25"/>
        <v>0</v>
      </c>
      <c r="Q47" s="162">
        <f t="shared" si="25"/>
        <v>0</v>
      </c>
      <c r="R47" s="162">
        <f t="shared" si="25"/>
        <v>0</v>
      </c>
      <c r="S47" s="162">
        <f t="shared" si="25"/>
        <v>0</v>
      </c>
      <c r="T47" s="162">
        <f t="shared" si="25"/>
        <v>0</v>
      </c>
      <c r="U47" s="162">
        <f t="shared" ref="U47:V47" si="26" xml:space="preserve"> U45 + U46</f>
        <v>-16.892210759495828</v>
      </c>
      <c r="V47" s="162">
        <f t="shared" si="26"/>
        <v>0</v>
      </c>
      <c r="W47" s="162">
        <f t="shared" ref="W47:X47" si="27" xml:space="preserve"> W45 + W46</f>
        <v>0</v>
      </c>
      <c r="X47" s="162">
        <f t="shared" si="27"/>
        <v>0</v>
      </c>
    </row>
    <row r="48" spans="1:24" s="154" customFormat="1" x14ac:dyDescent="0.2">
      <c r="A48" s="155"/>
      <c r="B48" s="156"/>
      <c r="C48" s="157"/>
    </row>
    <row r="49" spans="1:24" s="154" customFormat="1" x14ac:dyDescent="0.2">
      <c r="A49" s="155"/>
      <c r="B49" s="156"/>
      <c r="C49" s="157"/>
      <c r="E49" s="154" t="str">
        <f t="shared" ref="E49:X49" si="28" xml:space="preserve"> E$30</f>
        <v>Allowed revenue</v>
      </c>
      <c r="F49" s="154">
        <f t="shared" si="28"/>
        <v>0</v>
      </c>
      <c r="G49" s="154" t="str">
        <f t="shared" si="28"/>
        <v>£m (nominal)</v>
      </c>
      <c r="H49" s="154">
        <f t="shared" si="28"/>
        <v>0</v>
      </c>
      <c r="I49" s="154">
        <f t="shared" si="28"/>
        <v>0</v>
      </c>
      <c r="J49" s="162">
        <f t="shared" si="28"/>
        <v>0</v>
      </c>
      <c r="K49" s="162">
        <f t="shared" si="28"/>
        <v>0</v>
      </c>
      <c r="L49" s="162">
        <f t="shared" si="28"/>
        <v>0</v>
      </c>
      <c r="M49" s="162">
        <f t="shared" si="28"/>
        <v>0</v>
      </c>
      <c r="N49" s="162">
        <f t="shared" si="28"/>
        <v>0</v>
      </c>
      <c r="O49" s="162">
        <f t="shared" si="28"/>
        <v>0</v>
      </c>
      <c r="P49" s="162">
        <f t="shared" si="28"/>
        <v>0</v>
      </c>
      <c r="Q49" s="162">
        <f t="shared" si="28"/>
        <v>0</v>
      </c>
      <c r="R49" s="162">
        <f t="shared" si="28"/>
        <v>0</v>
      </c>
      <c r="S49" s="162">
        <f t="shared" si="28"/>
        <v>0</v>
      </c>
      <c r="T49" s="162">
        <f t="shared" si="28"/>
        <v>0</v>
      </c>
      <c r="U49" s="162">
        <f t="shared" si="28"/>
        <v>0</v>
      </c>
      <c r="V49" s="162">
        <f t="shared" si="28"/>
        <v>0</v>
      </c>
      <c r="W49" s="162">
        <f t="shared" si="28"/>
        <v>0</v>
      </c>
      <c r="X49" s="162">
        <f t="shared" si="28"/>
        <v>0</v>
      </c>
    </row>
    <row r="50" spans="1:24" s="154" customFormat="1" x14ac:dyDescent="0.2">
      <c r="A50" s="155"/>
      <c r="B50" s="156"/>
      <c r="C50" s="157"/>
      <c r="E50" s="154" t="str">
        <f t="shared" ref="E50:X50" si="29" xml:space="preserve"> E$47</f>
        <v xml:space="preserve">Total value of ODI </v>
      </c>
      <c r="F50" s="154">
        <f t="shared" si="29"/>
        <v>0</v>
      </c>
      <c r="G50" s="154" t="str">
        <f t="shared" si="29"/>
        <v>£m (nominal)</v>
      </c>
      <c r="H50" s="154">
        <f t="shared" si="29"/>
        <v>0</v>
      </c>
      <c r="I50" s="154">
        <f t="shared" si="29"/>
        <v>0</v>
      </c>
      <c r="J50" s="162">
        <f t="shared" si="29"/>
        <v>0</v>
      </c>
      <c r="K50" s="162">
        <f t="shared" si="29"/>
        <v>0</v>
      </c>
      <c r="L50" s="162">
        <f t="shared" si="29"/>
        <v>0</v>
      </c>
      <c r="M50" s="162">
        <f t="shared" si="29"/>
        <v>0</v>
      </c>
      <c r="N50" s="162">
        <f t="shared" si="29"/>
        <v>0</v>
      </c>
      <c r="O50" s="162">
        <f t="shared" si="29"/>
        <v>0</v>
      </c>
      <c r="P50" s="162">
        <f t="shared" si="29"/>
        <v>0</v>
      </c>
      <c r="Q50" s="162">
        <f t="shared" si="29"/>
        <v>0</v>
      </c>
      <c r="R50" s="162">
        <f t="shared" si="29"/>
        <v>0</v>
      </c>
      <c r="S50" s="162">
        <f t="shared" si="29"/>
        <v>0</v>
      </c>
      <c r="T50" s="162">
        <f t="shared" si="29"/>
        <v>0</v>
      </c>
      <c r="U50" s="162">
        <f t="shared" si="29"/>
        <v>-16.892210759495828</v>
      </c>
      <c r="V50" s="162">
        <f t="shared" si="29"/>
        <v>0</v>
      </c>
      <c r="W50" s="162">
        <f t="shared" si="29"/>
        <v>0</v>
      </c>
      <c r="X50" s="162">
        <f t="shared" si="29"/>
        <v>0</v>
      </c>
    </row>
    <row r="51" spans="1:24" s="154" customFormat="1" x14ac:dyDescent="0.2">
      <c r="A51" s="155"/>
      <c r="B51" s="156"/>
      <c r="C51" s="157"/>
      <c r="E51" s="154" t="s">
        <v>755</v>
      </c>
      <c r="G51" s="154" t="s">
        <v>602</v>
      </c>
      <c r="H51" s="154">
        <f xml:space="preserve"> SUM( J51:T51 )</f>
        <v>0</v>
      </c>
      <c r="J51" s="162">
        <f xml:space="preserve"> J49 + J50</f>
        <v>0</v>
      </c>
      <c r="K51" s="162">
        <f t="shared" ref="K51:T51" si="30" xml:space="preserve"> K49 + K50</f>
        <v>0</v>
      </c>
      <c r="L51" s="162">
        <f t="shared" si="30"/>
        <v>0</v>
      </c>
      <c r="M51" s="162">
        <f t="shared" si="30"/>
        <v>0</v>
      </c>
      <c r="N51" s="162">
        <f t="shared" si="30"/>
        <v>0</v>
      </c>
      <c r="O51" s="162">
        <f t="shared" si="30"/>
        <v>0</v>
      </c>
      <c r="P51" s="162">
        <f t="shared" si="30"/>
        <v>0</v>
      </c>
      <c r="Q51" s="162">
        <f t="shared" si="30"/>
        <v>0</v>
      </c>
      <c r="R51" s="162">
        <f t="shared" si="30"/>
        <v>0</v>
      </c>
      <c r="S51" s="162">
        <f t="shared" si="30"/>
        <v>0</v>
      </c>
      <c r="T51" s="162">
        <f t="shared" si="30"/>
        <v>0</v>
      </c>
      <c r="U51" s="162">
        <f t="shared" ref="U51:V51" si="31" xml:space="preserve"> U49 + U50</f>
        <v>-16.892210759495828</v>
      </c>
      <c r="V51" s="162">
        <f t="shared" si="31"/>
        <v>0</v>
      </c>
      <c r="W51" s="162">
        <f t="shared" ref="W51:X51" si="32" xml:space="preserve"> W49 + W50</f>
        <v>0</v>
      </c>
      <c r="X51" s="162">
        <f t="shared" si="32"/>
        <v>0</v>
      </c>
    </row>
    <row r="52" spans="1:24" s="154" customFormat="1" x14ac:dyDescent="0.2">
      <c r="A52" s="155"/>
      <c r="B52" s="156"/>
      <c r="C52" s="157"/>
    </row>
    <row r="53" spans="1:24" s="154" customFormat="1" x14ac:dyDescent="0.2">
      <c r="A53" s="155"/>
      <c r="B53" s="156" t="s">
        <v>756</v>
      </c>
      <c r="C53" s="157"/>
    </row>
    <row r="54" spans="1:24" s="154" customFormat="1" x14ac:dyDescent="0.2">
      <c r="A54" s="155"/>
      <c r="B54" s="156"/>
      <c r="C54" s="157"/>
      <c r="E54" s="154" t="str">
        <f t="shared" ref="E54:X54" si="33" xml:space="preserve"> E$51</f>
        <v>Revised total nominal revenue</v>
      </c>
      <c r="F54" s="154">
        <f t="shared" si="33"/>
        <v>0</v>
      </c>
      <c r="G54" s="154" t="str">
        <f t="shared" si="33"/>
        <v>£m (nominal)</v>
      </c>
      <c r="H54" s="154">
        <f t="shared" si="33"/>
        <v>0</v>
      </c>
      <c r="I54" s="154">
        <f t="shared" si="33"/>
        <v>0</v>
      </c>
      <c r="J54" s="154">
        <f t="shared" si="33"/>
        <v>0</v>
      </c>
      <c r="K54" s="154">
        <f t="shared" si="33"/>
        <v>0</v>
      </c>
      <c r="L54" s="154">
        <f t="shared" si="33"/>
        <v>0</v>
      </c>
      <c r="M54" s="154">
        <f t="shared" si="33"/>
        <v>0</v>
      </c>
      <c r="N54" s="154">
        <f t="shared" si="33"/>
        <v>0</v>
      </c>
      <c r="O54" s="154">
        <f t="shared" si="33"/>
        <v>0</v>
      </c>
      <c r="P54" s="154">
        <f t="shared" si="33"/>
        <v>0</v>
      </c>
      <c r="Q54" s="154">
        <f t="shared" si="33"/>
        <v>0</v>
      </c>
      <c r="R54" s="154">
        <f t="shared" si="33"/>
        <v>0</v>
      </c>
      <c r="S54" s="154">
        <f t="shared" si="33"/>
        <v>0</v>
      </c>
      <c r="T54" s="154">
        <f t="shared" si="33"/>
        <v>0</v>
      </c>
      <c r="U54" s="154">
        <f t="shared" si="33"/>
        <v>-16.892210759495828</v>
      </c>
      <c r="V54" s="154">
        <f t="shared" si="33"/>
        <v>0</v>
      </c>
      <c r="W54" s="154">
        <f t="shared" si="33"/>
        <v>0</v>
      </c>
      <c r="X54" s="154">
        <f t="shared" si="33"/>
        <v>0</v>
      </c>
    </row>
    <row r="55" spans="1:24" s="154" customFormat="1" x14ac:dyDescent="0.2">
      <c r="A55" s="155"/>
      <c r="B55" s="163"/>
      <c r="C55" s="157"/>
      <c r="E55" s="164" t="s">
        <v>757</v>
      </c>
      <c r="F55" s="165"/>
      <c r="G55" s="164" t="s">
        <v>583</v>
      </c>
      <c r="H55" s="165"/>
      <c r="J55" s="197">
        <f xml:space="preserve"> IF( I54 = 0, 0, J54 / I54 - 1 )</f>
        <v>0</v>
      </c>
      <c r="K55" s="197">
        <f t="shared" ref="K55:X55" si="34" xml:space="preserve"> IF( J54 = 0, 0, K54 / J54 - 1 )</f>
        <v>0</v>
      </c>
      <c r="L55" s="197">
        <f t="shared" si="34"/>
        <v>0</v>
      </c>
      <c r="M55" s="197">
        <f t="shared" si="34"/>
        <v>0</v>
      </c>
      <c r="N55" s="197">
        <f t="shared" si="34"/>
        <v>0</v>
      </c>
      <c r="O55" s="197">
        <f t="shared" si="34"/>
        <v>0</v>
      </c>
      <c r="P55" s="197">
        <f t="shared" si="34"/>
        <v>0</v>
      </c>
      <c r="Q55" s="197">
        <f t="shared" si="34"/>
        <v>0</v>
      </c>
      <c r="R55" s="197">
        <f t="shared" si="34"/>
        <v>0</v>
      </c>
      <c r="S55" s="197">
        <f t="shared" si="34"/>
        <v>0</v>
      </c>
      <c r="T55" s="197">
        <f t="shared" si="34"/>
        <v>0</v>
      </c>
      <c r="U55" s="197">
        <f t="shared" si="34"/>
        <v>0</v>
      </c>
      <c r="V55" s="197">
        <f t="shared" si="34"/>
        <v>-1</v>
      </c>
      <c r="W55" s="197">
        <f t="shared" si="34"/>
        <v>0</v>
      </c>
      <c r="X55" s="197">
        <f t="shared" si="34"/>
        <v>0</v>
      </c>
    </row>
    <row r="56" spans="1:24" s="154" customFormat="1" x14ac:dyDescent="0.2">
      <c r="A56" s="155"/>
      <c r="B56" s="163"/>
      <c r="C56" s="157"/>
      <c r="E56" s="164"/>
      <c r="F56" s="165"/>
      <c r="G56" s="164"/>
      <c r="H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</row>
    <row r="57" spans="1:24" s="154" customFormat="1" x14ac:dyDescent="0.2">
      <c r="A57" s="155"/>
      <c r="B57" s="163"/>
      <c r="C57" s="157"/>
      <c r="E57" s="164" t="str">
        <f xml:space="preserve"> E$18</f>
        <v>Year of adjustment to be applied</v>
      </c>
      <c r="F57" s="164">
        <f t="shared" ref="F57:X57" si="35" xml:space="preserve"> F$18</f>
        <v>0</v>
      </c>
      <c r="G57" s="164" t="str">
        <f t="shared" si="35"/>
        <v>flag</v>
      </c>
      <c r="H57" s="164">
        <f t="shared" si="35"/>
        <v>0</v>
      </c>
      <c r="I57" s="164">
        <f t="shared" si="35"/>
        <v>0</v>
      </c>
      <c r="J57" s="199">
        <f t="shared" si="35"/>
        <v>0</v>
      </c>
      <c r="K57" s="199">
        <f t="shared" si="35"/>
        <v>0</v>
      </c>
      <c r="L57" s="199">
        <f t="shared" si="35"/>
        <v>0</v>
      </c>
      <c r="M57" s="199">
        <f t="shared" si="35"/>
        <v>0</v>
      </c>
      <c r="N57" s="199">
        <f t="shared" si="35"/>
        <v>0</v>
      </c>
      <c r="O57" s="199">
        <f t="shared" si="35"/>
        <v>0</v>
      </c>
      <c r="P57" s="199">
        <f t="shared" si="35"/>
        <v>0</v>
      </c>
      <c r="Q57" s="199">
        <f t="shared" si="35"/>
        <v>0</v>
      </c>
      <c r="R57" s="199">
        <f t="shared" si="35"/>
        <v>0</v>
      </c>
      <c r="S57" s="199">
        <f t="shared" si="35"/>
        <v>0</v>
      </c>
      <c r="T57" s="199">
        <f t="shared" si="35"/>
        <v>0</v>
      </c>
      <c r="U57" s="199">
        <f t="shared" si="35"/>
        <v>1</v>
      </c>
      <c r="V57" s="199">
        <f t="shared" si="35"/>
        <v>0</v>
      </c>
      <c r="W57" s="199">
        <f t="shared" si="35"/>
        <v>0</v>
      </c>
      <c r="X57" s="199">
        <f t="shared" si="35"/>
        <v>0</v>
      </c>
    </row>
    <row r="58" spans="1:24" s="291" customFormat="1" x14ac:dyDescent="0.2">
      <c r="A58" s="347"/>
      <c r="B58" s="348"/>
      <c r="C58" s="349"/>
      <c r="E58" s="350" t="s">
        <v>758</v>
      </c>
      <c r="F58" s="351"/>
      <c r="G58" s="350" t="s">
        <v>644</v>
      </c>
      <c r="H58" s="351"/>
      <c r="J58" s="352">
        <f t="shared" ref="J58:X58" si="36">IF($F$10&lt;&gt;0, IF( OR( J57 = 1, I58 = 1 ), 1, 0 ),0)</f>
        <v>0</v>
      </c>
      <c r="K58" s="352">
        <f t="shared" si="36"/>
        <v>0</v>
      </c>
      <c r="L58" s="352">
        <f t="shared" si="36"/>
        <v>0</v>
      </c>
      <c r="M58" s="352">
        <f t="shared" si="36"/>
        <v>0</v>
      </c>
      <c r="N58" s="352">
        <f t="shared" si="36"/>
        <v>0</v>
      </c>
      <c r="O58" s="352">
        <f t="shared" si="36"/>
        <v>0</v>
      </c>
      <c r="P58" s="352">
        <f t="shared" si="36"/>
        <v>0</v>
      </c>
      <c r="Q58" s="352">
        <f t="shared" si="36"/>
        <v>0</v>
      </c>
      <c r="R58" s="352">
        <f t="shared" si="36"/>
        <v>0</v>
      </c>
      <c r="S58" s="352">
        <f t="shared" si="36"/>
        <v>0</v>
      </c>
      <c r="T58" s="352">
        <f t="shared" si="36"/>
        <v>0</v>
      </c>
      <c r="U58" s="352">
        <f t="shared" si="36"/>
        <v>1</v>
      </c>
      <c r="V58" s="352">
        <f t="shared" si="36"/>
        <v>1</v>
      </c>
      <c r="W58" s="352">
        <f t="shared" si="36"/>
        <v>1</v>
      </c>
      <c r="X58" s="352">
        <f t="shared" si="36"/>
        <v>1</v>
      </c>
    </row>
    <row r="59" spans="1:24" s="154" customFormat="1" x14ac:dyDescent="0.2">
      <c r="A59" s="155"/>
      <c r="B59" s="156"/>
      <c r="C59" s="157"/>
    </row>
    <row r="60" spans="1:24" s="167" customFormat="1" x14ac:dyDescent="0.2">
      <c r="A60" s="166"/>
      <c r="B60" s="156"/>
      <c r="E60" s="162" t="str">
        <f t="shared" ref="E60:X60" si="37" xml:space="preserve"> E$55</f>
        <v>Allowed revenue percentage movement</v>
      </c>
      <c r="F60" s="154">
        <f t="shared" si="37"/>
        <v>0</v>
      </c>
      <c r="G60" s="162" t="str">
        <f t="shared" si="37"/>
        <v>Percentage</v>
      </c>
      <c r="H60" s="154">
        <f t="shared" si="37"/>
        <v>0</v>
      </c>
      <c r="I60" s="154">
        <f t="shared" si="37"/>
        <v>0</v>
      </c>
      <c r="J60" s="95">
        <f t="shared" si="37"/>
        <v>0</v>
      </c>
      <c r="K60" s="95">
        <f t="shared" si="37"/>
        <v>0</v>
      </c>
      <c r="L60" s="95">
        <f t="shared" si="37"/>
        <v>0</v>
      </c>
      <c r="M60" s="95">
        <f t="shared" si="37"/>
        <v>0</v>
      </c>
      <c r="N60" s="95">
        <f t="shared" si="37"/>
        <v>0</v>
      </c>
      <c r="O60" s="95">
        <f t="shared" si="37"/>
        <v>0</v>
      </c>
      <c r="P60" s="95">
        <f t="shared" si="37"/>
        <v>0</v>
      </c>
      <c r="Q60" s="95">
        <f t="shared" si="37"/>
        <v>0</v>
      </c>
      <c r="R60" s="95">
        <f t="shared" si="37"/>
        <v>0</v>
      </c>
      <c r="S60" s="95">
        <f t="shared" si="37"/>
        <v>0</v>
      </c>
      <c r="T60" s="95">
        <f t="shared" si="37"/>
        <v>0</v>
      </c>
      <c r="U60" s="95">
        <f t="shared" si="37"/>
        <v>0</v>
      </c>
      <c r="V60" s="95">
        <f t="shared" si="37"/>
        <v>-1</v>
      </c>
      <c r="W60" s="95">
        <f t="shared" si="37"/>
        <v>0</v>
      </c>
      <c r="X60" s="95">
        <f t="shared" si="37"/>
        <v>0</v>
      </c>
    </row>
    <row r="61" spans="1:24" s="167" customFormat="1" x14ac:dyDescent="0.2">
      <c r="A61" s="166"/>
      <c r="B61" s="156"/>
      <c r="E61" s="298" t="str">
        <f xml:space="preserve"> Index!E$12</f>
        <v>November CPIH annual inflation figures</v>
      </c>
      <c r="F61" s="298">
        <f xml:space="preserve"> Index!F$12</f>
        <v>0</v>
      </c>
      <c r="G61" s="298" t="str">
        <f xml:space="preserve"> Index!G$12</f>
        <v>Percentage</v>
      </c>
      <c r="H61" s="298">
        <f xml:space="preserve"> Index!H$12</f>
        <v>0</v>
      </c>
      <c r="I61" s="298">
        <f xml:space="preserve"> Index!I$12</f>
        <v>0</v>
      </c>
      <c r="J61" s="298">
        <f xml:space="preserve"> Index!J$12</f>
        <v>0</v>
      </c>
      <c r="K61" s="298">
        <f xml:space="preserve"> Index!K$12</f>
        <v>0</v>
      </c>
      <c r="L61" s="298">
        <f xml:space="preserve"> Index!L$12</f>
        <v>1.4955134596211339E-2</v>
      </c>
      <c r="M61" s="298">
        <f xml:space="preserve"> Index!M$12</f>
        <v>0</v>
      </c>
      <c r="N61" s="298">
        <f xml:space="preserve"> Index!N$12</f>
        <v>0</v>
      </c>
      <c r="O61" s="298">
        <f xml:space="preserve"> Index!O$12</f>
        <v>0</v>
      </c>
      <c r="P61" s="298">
        <f xml:space="preserve"> Index!P$12</f>
        <v>0</v>
      </c>
      <c r="Q61" s="298">
        <f xml:space="preserve"> Index!Q$12</f>
        <v>0</v>
      </c>
      <c r="R61" s="298">
        <f xml:space="preserve"> Index!R$12</f>
        <v>0</v>
      </c>
      <c r="S61" s="298">
        <f xml:space="preserve"> Index!S$12</f>
        <v>0</v>
      </c>
      <c r="T61" s="298">
        <f xml:space="preserve"> Index!T$12</f>
        <v>0</v>
      </c>
      <c r="U61" s="298">
        <f xml:space="preserve"> Index!U$12</f>
        <v>0</v>
      </c>
      <c r="V61" s="298">
        <f xml:space="preserve"> Index!V$12</f>
        <v>0</v>
      </c>
      <c r="W61" s="298">
        <f xml:space="preserve"> Index!W$12</f>
        <v>0</v>
      </c>
      <c r="X61" s="298">
        <f xml:space="preserve"> Index!X$12</f>
        <v>0</v>
      </c>
    </row>
    <row r="62" spans="1:24" s="167" customFormat="1" x14ac:dyDescent="0.2">
      <c r="A62" s="166"/>
      <c r="B62" s="156"/>
      <c r="E62" s="162" t="str">
        <f t="shared" ref="E62:X62" si="38" xml:space="preserve"> E$58</f>
        <v>Year that price limits should be recalculated</v>
      </c>
      <c r="F62" s="154">
        <f t="shared" si="38"/>
        <v>0</v>
      </c>
      <c r="G62" s="162" t="str">
        <f t="shared" si="38"/>
        <v>flag</v>
      </c>
      <c r="H62" s="154">
        <f t="shared" si="38"/>
        <v>0</v>
      </c>
      <c r="I62" s="154">
        <f t="shared" si="38"/>
        <v>0</v>
      </c>
      <c r="J62" s="200">
        <f t="shared" si="38"/>
        <v>0</v>
      </c>
      <c r="K62" s="200">
        <f t="shared" si="38"/>
        <v>0</v>
      </c>
      <c r="L62" s="200">
        <f t="shared" si="38"/>
        <v>0</v>
      </c>
      <c r="M62" s="200">
        <f t="shared" si="38"/>
        <v>0</v>
      </c>
      <c r="N62" s="200">
        <f t="shared" si="38"/>
        <v>0</v>
      </c>
      <c r="O62" s="200">
        <f t="shared" si="38"/>
        <v>0</v>
      </c>
      <c r="P62" s="200">
        <f t="shared" si="38"/>
        <v>0</v>
      </c>
      <c r="Q62" s="200">
        <f t="shared" si="38"/>
        <v>0</v>
      </c>
      <c r="R62" s="200">
        <f t="shared" si="38"/>
        <v>0</v>
      </c>
      <c r="S62" s="200">
        <f t="shared" si="38"/>
        <v>0</v>
      </c>
      <c r="T62" s="200">
        <f t="shared" si="38"/>
        <v>0</v>
      </c>
      <c r="U62" s="200">
        <f t="shared" si="38"/>
        <v>1</v>
      </c>
      <c r="V62" s="200">
        <f t="shared" si="38"/>
        <v>1</v>
      </c>
      <c r="W62" s="200">
        <f t="shared" si="38"/>
        <v>1</v>
      </c>
      <c r="X62" s="200">
        <f t="shared" si="38"/>
        <v>1</v>
      </c>
    </row>
    <row r="63" spans="1:24" s="167" customFormat="1" x14ac:dyDescent="0.2">
      <c r="A63" s="166"/>
      <c r="B63" s="156"/>
      <c r="E63" s="164" t="s">
        <v>759</v>
      </c>
      <c r="F63" s="165"/>
      <c r="G63" s="164" t="s">
        <v>583</v>
      </c>
      <c r="H63" s="165"/>
      <c r="I63" s="165"/>
      <c r="J63" s="197">
        <f xml:space="preserve"> IF( J62 = 0, 0, J60 - J61 )</f>
        <v>0</v>
      </c>
      <c r="K63" s="197">
        <f t="shared" ref="K63:T63" si="39" xml:space="preserve"> IF( K62 = 0, 0, K60 - K61 )</f>
        <v>0</v>
      </c>
      <c r="L63" s="197">
        <f t="shared" si="39"/>
        <v>0</v>
      </c>
      <c r="M63" s="197">
        <f t="shared" si="39"/>
        <v>0</v>
      </c>
      <c r="N63" s="197">
        <f t="shared" si="39"/>
        <v>0</v>
      </c>
      <c r="O63" s="197">
        <f t="shared" si="39"/>
        <v>0</v>
      </c>
      <c r="P63" s="197">
        <f t="shared" si="39"/>
        <v>0</v>
      </c>
      <c r="Q63" s="197">
        <f t="shared" si="39"/>
        <v>0</v>
      </c>
      <c r="R63" s="197">
        <f t="shared" si="39"/>
        <v>0</v>
      </c>
      <c r="S63" s="197">
        <f t="shared" si="39"/>
        <v>0</v>
      </c>
      <c r="T63" s="197">
        <f t="shared" si="39"/>
        <v>0</v>
      </c>
      <c r="U63" s="197">
        <f t="shared" ref="U63:V63" si="40" xml:space="preserve"> IF( U62 = 0, 0, U60 - U61 )</f>
        <v>0</v>
      </c>
      <c r="V63" s="197">
        <f t="shared" si="40"/>
        <v>-1</v>
      </c>
      <c r="W63" s="197">
        <f t="shared" ref="W63:X63" si="41" xml:space="preserve"> IF( W62 = 0, 0, W60 - W61 )</f>
        <v>0</v>
      </c>
      <c r="X63" s="197">
        <f t="shared" si="41"/>
        <v>0</v>
      </c>
    </row>
    <row r="64" spans="1:24" s="154" customFormat="1" x14ac:dyDescent="0.2">
      <c r="A64" s="155"/>
      <c r="B64" s="156"/>
      <c r="C64" s="157"/>
    </row>
    <row r="65" spans="1:24" s="154" customFormat="1" x14ac:dyDescent="0.2">
      <c r="A65" s="155"/>
      <c r="B65" s="156"/>
      <c r="C65" s="157"/>
      <c r="E65" s="154" t="str">
        <f t="shared" ref="E65:X65" si="42" xml:space="preserve"> E$63</f>
        <v>Allowed revenue percentage movement (Nov-Nov CPIH deflated)</v>
      </c>
      <c r="F65" s="154">
        <f t="shared" si="42"/>
        <v>0</v>
      </c>
      <c r="G65" s="154" t="str">
        <f t="shared" si="42"/>
        <v>Percentage</v>
      </c>
      <c r="H65" s="154">
        <f t="shared" si="42"/>
        <v>0</v>
      </c>
      <c r="I65" s="154">
        <f t="shared" si="42"/>
        <v>0</v>
      </c>
      <c r="J65" s="95">
        <f t="shared" si="42"/>
        <v>0</v>
      </c>
      <c r="K65" s="95">
        <f t="shared" si="42"/>
        <v>0</v>
      </c>
      <c r="L65" s="95">
        <f t="shared" si="42"/>
        <v>0</v>
      </c>
      <c r="M65" s="95">
        <f t="shared" si="42"/>
        <v>0</v>
      </c>
      <c r="N65" s="95">
        <f t="shared" si="42"/>
        <v>0</v>
      </c>
      <c r="O65" s="95">
        <f t="shared" si="42"/>
        <v>0</v>
      </c>
      <c r="P65" s="95">
        <f t="shared" si="42"/>
        <v>0</v>
      </c>
      <c r="Q65" s="95">
        <f t="shared" si="42"/>
        <v>0</v>
      </c>
      <c r="R65" s="95">
        <f t="shared" si="42"/>
        <v>0</v>
      </c>
      <c r="S65" s="95">
        <f t="shared" si="42"/>
        <v>0</v>
      </c>
      <c r="T65" s="95">
        <f t="shared" si="42"/>
        <v>0</v>
      </c>
      <c r="U65" s="95">
        <f t="shared" si="42"/>
        <v>0</v>
      </c>
      <c r="V65" s="95">
        <f t="shared" si="42"/>
        <v>-1</v>
      </c>
      <c r="W65" s="95">
        <f t="shared" si="42"/>
        <v>0</v>
      </c>
      <c r="X65" s="95">
        <f t="shared" si="42"/>
        <v>0</v>
      </c>
    </row>
    <row r="66" spans="1:24" s="154" customFormat="1" x14ac:dyDescent="0.2">
      <c r="A66" s="155"/>
      <c r="B66" s="156"/>
      <c r="E66" s="314" t="s">
        <v>762</v>
      </c>
      <c r="G66" s="162" t="s">
        <v>583</v>
      </c>
      <c r="J66" s="264">
        <f>IF(J58&lt;&gt;0,IF(J65&gt;=0,ROUNDUP(ROUNDDOWN(J65,5),4),ROUNDDOWN(ROUNDUP(J65,5),4)),J28)</f>
        <v>0</v>
      </c>
      <c r="K66" s="264">
        <f t="shared" ref="K66:T66" si="43">IF(K58&lt;&gt;0,IF(K65&gt;=0,ROUNDUP(ROUNDDOWN(K65,5),4),ROUNDDOWN(ROUNDUP(K65,5),4)),K28)</f>
        <v>0</v>
      </c>
      <c r="L66" s="264">
        <f t="shared" si="43"/>
        <v>0</v>
      </c>
      <c r="M66" s="264">
        <f t="shared" si="43"/>
        <v>0</v>
      </c>
      <c r="N66" s="264">
        <f t="shared" si="43"/>
        <v>0</v>
      </c>
      <c r="O66" s="264">
        <f t="shared" si="43"/>
        <v>0</v>
      </c>
      <c r="P66" s="264">
        <f t="shared" si="43"/>
        <v>0</v>
      </c>
      <c r="Q66" s="264">
        <f t="shared" si="43"/>
        <v>0</v>
      </c>
      <c r="R66" s="264">
        <f t="shared" si="43"/>
        <v>0</v>
      </c>
      <c r="S66" s="264">
        <f t="shared" si="43"/>
        <v>0</v>
      </c>
      <c r="T66" s="264">
        <f t="shared" si="43"/>
        <v>0</v>
      </c>
      <c r="U66" s="264">
        <f t="shared" ref="U66:V66" si="44">IF(U58&lt;&gt;0,IF(U65&gt;=0,ROUNDUP(ROUNDDOWN(U65,5),4),ROUNDDOWN(ROUNDUP(U65,5),4)),U28)</f>
        <v>0</v>
      </c>
      <c r="V66" s="264">
        <f t="shared" si="44"/>
        <v>-1</v>
      </c>
      <c r="W66" s="264">
        <f t="shared" ref="W66:X66" si="45">IF(W58&lt;&gt;0,IF(W65&gt;=0,ROUNDUP(ROUNDDOWN(W65,5),4),ROUNDDOWN(ROUNDUP(W65,5),4)),W28)</f>
        <v>0</v>
      </c>
      <c r="X66" s="264">
        <f t="shared" si="45"/>
        <v>0</v>
      </c>
    </row>
    <row r="67" spans="1:24" s="167" customFormat="1" x14ac:dyDescent="0.2">
      <c r="A67" s="166"/>
      <c r="B67" s="156"/>
      <c r="E67" s="315" t="s">
        <v>762</v>
      </c>
      <c r="G67" s="168" t="s">
        <v>584</v>
      </c>
      <c r="J67" s="178">
        <f>J66*100</f>
        <v>0</v>
      </c>
      <c r="K67" s="178">
        <f t="shared" ref="K67:T67" si="46">K66*100</f>
        <v>0</v>
      </c>
      <c r="L67" s="178">
        <f t="shared" si="46"/>
        <v>0</v>
      </c>
      <c r="M67" s="178">
        <f t="shared" si="46"/>
        <v>0</v>
      </c>
      <c r="N67" s="178">
        <f t="shared" si="46"/>
        <v>0</v>
      </c>
      <c r="O67" s="178">
        <f t="shared" si="46"/>
        <v>0</v>
      </c>
      <c r="P67" s="178">
        <f t="shared" si="46"/>
        <v>0</v>
      </c>
      <c r="Q67" s="178">
        <f t="shared" si="46"/>
        <v>0</v>
      </c>
      <c r="R67" s="178">
        <f t="shared" si="46"/>
        <v>0</v>
      </c>
      <c r="S67" s="178">
        <f t="shared" si="46"/>
        <v>0</v>
      </c>
      <c r="T67" s="178">
        <f t="shared" si="46"/>
        <v>0</v>
      </c>
      <c r="U67" s="178">
        <f t="shared" ref="U67:V67" si="47">U66*100</f>
        <v>0</v>
      </c>
      <c r="V67" s="178">
        <f t="shared" si="47"/>
        <v>-100</v>
      </c>
      <c r="W67" s="178">
        <f t="shared" ref="W67:X67" si="48">W66*100</f>
        <v>0</v>
      </c>
      <c r="X67" s="178">
        <f t="shared" si="48"/>
        <v>0</v>
      </c>
    </row>
    <row r="68" spans="1:24" x14ac:dyDescent="0.2">
      <c r="B68" s="97"/>
      <c r="E68" s="91"/>
    </row>
    <row r="69" spans="1:24" s="208" customFormat="1" ht="13.5" x14ac:dyDescent="0.25">
      <c r="A69" s="208" t="s">
        <v>134</v>
      </c>
    </row>
  </sheetData>
  <conditionalFormatting sqref="J3:X3">
    <cfRule type="cellIs" dxfId="40" priority="1" operator="equal">
      <formula>"Post-Fcst"</formula>
    </cfRule>
    <cfRule type="cellIs" dxfId="39" priority="2" operator="equal">
      <formula>"Post-Fcst Mod"</formula>
    </cfRule>
    <cfRule type="cellIs" dxfId="38" priority="3" operator="equal">
      <formula>"Forecast"</formula>
    </cfRule>
    <cfRule type="cellIs" dxfId="37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55D6-4F85-4199-8BF3-C736E042D0D0}">
  <sheetPr>
    <tabColor theme="5"/>
    <outlinePr summaryBelow="0" summaryRight="0"/>
    <pageSetUpPr fitToPage="1"/>
  </sheetPr>
  <dimension ref="A1:X61"/>
  <sheetViews>
    <sheetView showGridLines="0" zoomScale="80" zoomScaleNormal="80" workbookViewId="0">
      <pane xSplit="9" ySplit="5" topLeftCell="J6" activePane="bottomRight" state="frozen"/>
      <selection pane="topRight" activeCell="B4" sqref="B4"/>
      <selection pane="bottomLeft" activeCell="B4" sqref="B4"/>
      <selection pane="bottomRight"/>
    </sheetView>
  </sheetViews>
  <sheetFormatPr defaultColWidth="9.625" defaultRowHeight="12.75" zeroHeight="1" x14ac:dyDescent="0.2"/>
  <cols>
    <col min="1" max="1" width="1.625" style="96" customWidth="1"/>
    <col min="2" max="2" width="1.625" style="139" customWidth="1"/>
    <col min="3" max="3" width="1.625" style="98" customWidth="1"/>
    <col min="4" max="4" width="1.625" style="88" customWidth="1"/>
    <col min="5" max="5" width="73.75" style="88" bestFit="1" customWidth="1"/>
    <col min="6" max="6" width="7.75" style="88" bestFit="1" customWidth="1"/>
    <col min="7" max="7" width="24.625" style="88" bestFit="1" customWidth="1"/>
    <col min="8" max="8" width="15.625" style="30" customWidth="1"/>
    <col min="9" max="9" width="2.625" style="30" customWidth="1"/>
    <col min="10" max="22" width="9.625" style="30" customWidth="1"/>
    <col min="23" max="16384" width="9.625" style="30"/>
  </cols>
  <sheetData>
    <row r="1" spans="1:24" s="103" customFormat="1" ht="44.25" x14ac:dyDescent="0.2">
      <c r="A1" s="132" t="str">
        <f ca="1" xml:space="preserve"> RIGHT(CELL("filename", $A$1), LEN(CELL("filename", $A$1)) - SEARCH("]", CELL("filename", $A$1)))</f>
        <v>Bioresources (sludge)</v>
      </c>
      <c r="B1" s="133"/>
      <c r="C1" s="134"/>
      <c r="D1" s="130"/>
      <c r="E1" s="130"/>
      <c r="F1" s="130"/>
      <c r="G1" s="130"/>
      <c r="H1" s="393" t="str">
        <f>InpActive!F9</f>
        <v>Anglian Water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4" customFormat="1" x14ac:dyDescent="0.2">
      <c r="A2" s="135"/>
      <c r="B2" s="136"/>
      <c r="C2" s="137"/>
      <c r="D2" s="138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19" customFormat="1" x14ac:dyDescent="0.2">
      <c r="A3" s="131"/>
      <c r="B3" s="136"/>
      <c r="C3" s="137"/>
      <c r="D3" s="138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8" customFormat="1" x14ac:dyDescent="0.2">
      <c r="A4" s="131"/>
      <c r="B4" s="136"/>
      <c r="C4" s="137"/>
      <c r="D4" s="138"/>
      <c r="E4" s="120" t="str">
        <f>Time!E$106</f>
        <v>Financial Year Ending</v>
      </c>
      <c r="F4" s="120"/>
      <c r="G4" s="120"/>
      <c r="H4" s="116"/>
      <c r="I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29" customFormat="1" x14ac:dyDescent="0.2">
      <c r="A5" s="131"/>
      <c r="B5" s="136"/>
      <c r="C5" s="137"/>
      <c r="D5" s="138"/>
      <c r="E5" s="120" t="str">
        <f>Time!E$10</f>
        <v>Model column counter</v>
      </c>
      <c r="F5" s="131" t="s">
        <v>532</v>
      </c>
      <c r="G5" s="131" t="s">
        <v>186</v>
      </c>
      <c r="H5" s="19" t="s">
        <v>533</v>
      </c>
      <c r="I5" s="24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29" customFormat="1" x14ac:dyDescent="0.2">
      <c r="A6" s="131"/>
      <c r="B6" s="136"/>
      <c r="C6" s="137"/>
      <c r="D6" s="138"/>
      <c r="E6" s="120"/>
      <c r="F6" s="131"/>
      <c r="G6" s="131"/>
      <c r="H6" s="19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209" customFormat="1" ht="13.5" x14ac:dyDescent="0.25">
      <c r="A7" s="209" t="s">
        <v>539</v>
      </c>
    </row>
    <row r="8" spans="1:24" x14ac:dyDescent="0.2">
      <c r="B8" s="97"/>
      <c r="E8" s="91"/>
    </row>
    <row r="9" spans="1:24" s="154" customFormat="1" x14ac:dyDescent="0.2">
      <c r="A9" s="155"/>
      <c r="B9" s="156" t="s">
        <v>741</v>
      </c>
      <c r="C9" s="157"/>
    </row>
    <row r="10" spans="1:24" s="295" customFormat="1" x14ac:dyDescent="0.2">
      <c r="A10" s="345"/>
      <c r="B10" s="346"/>
      <c r="E10" s="295" t="str">
        <f xml:space="preserve"> 'Abatements and deferrals'!E$148</f>
        <v>Payments after abatements and deferrals and other bespoke adjustments - bioresources (sludge)</v>
      </c>
      <c r="F10" s="295">
        <f xml:space="preserve"> 'Abatements and deferrals'!F$148</f>
        <v>0</v>
      </c>
      <c r="G10" s="295" t="str">
        <f xml:space="preserve"> 'Abatements and deferrals'!G$148</f>
        <v>£m (2017-18 FYA CPIH prices)</v>
      </c>
      <c r="H10" s="295">
        <f xml:space="preserve"> 'Abatements and deferrals'!H$148</f>
        <v>0</v>
      </c>
      <c r="I10" s="295">
        <f xml:space="preserve"> 'Abatements and deferrals'!I$148</f>
        <v>0</v>
      </c>
    </row>
    <row r="11" spans="1:24" s="154" customFormat="1" x14ac:dyDescent="0.2">
      <c r="A11" s="155"/>
      <c r="B11" s="156"/>
      <c r="C11" s="157"/>
      <c r="E11" s="291"/>
      <c r="G11" s="291"/>
      <c r="H11" s="291"/>
    </row>
    <row r="12" spans="1:24" s="154" customFormat="1" x14ac:dyDescent="0.2">
      <c r="A12" s="155"/>
      <c r="B12" s="156" t="s">
        <v>742</v>
      </c>
      <c r="C12" s="157"/>
    </row>
    <row r="13" spans="1:24" s="154" customFormat="1" x14ac:dyDescent="0.2">
      <c r="A13" s="155"/>
      <c r="B13" s="156"/>
      <c r="C13" s="157"/>
    </row>
    <row r="14" spans="1:24" s="160" customFormat="1" x14ac:dyDescent="0.2">
      <c r="A14" s="158"/>
      <c r="B14" s="159"/>
      <c r="E14" s="295" t="str">
        <f xml:space="preserve"> InpActive!E$12</f>
        <v>Reporting year</v>
      </c>
      <c r="F14" s="295" t="str">
        <f xml:space="preserve"> InpActive!F$12</f>
        <v>2024-25</v>
      </c>
      <c r="G14" s="295" t="str">
        <f xml:space="preserve"> InpActive!G$12</f>
        <v>Financial year</v>
      </c>
    </row>
    <row r="15" spans="1:24" s="154" customFormat="1" x14ac:dyDescent="0.2">
      <c r="A15" s="155"/>
      <c r="B15" s="156"/>
      <c r="C15" s="157"/>
      <c r="E15" s="154" t="s">
        <v>743</v>
      </c>
      <c r="F15" s="215">
        <f>_xlfn.NUMBERVALUE(CONCATENATE(20,RIGHT(F14,2)))</f>
        <v>2025</v>
      </c>
    </row>
    <row r="16" spans="1:24" s="160" customFormat="1" x14ac:dyDescent="0.2">
      <c r="A16" s="158"/>
      <c r="B16" s="159"/>
      <c r="E16" s="171" t="str">
        <f xml:space="preserve"> Time!E$106</f>
        <v>Financial Year Ending</v>
      </c>
      <c r="F16" s="169">
        <f xml:space="preserve"> Time!F$106</f>
        <v>0</v>
      </c>
      <c r="G16" s="169" t="str">
        <f xml:space="preserve"> Time!G$106</f>
        <v>year #</v>
      </c>
      <c r="H16" s="169">
        <f xml:space="preserve"> Time!H$106</f>
        <v>0</v>
      </c>
      <c r="I16" s="169">
        <f xml:space="preserve"> Time!I$106</f>
        <v>0</v>
      </c>
      <c r="J16" s="214">
        <f xml:space="preserve"> Time!J$106</f>
        <v>2016</v>
      </c>
      <c r="K16" s="214">
        <f xml:space="preserve"> Time!K$106</f>
        <v>2017</v>
      </c>
      <c r="L16" s="214">
        <f xml:space="preserve"> Time!L$106</f>
        <v>2018</v>
      </c>
      <c r="M16" s="214">
        <f xml:space="preserve"> Time!M$106</f>
        <v>2019</v>
      </c>
      <c r="N16" s="214">
        <f xml:space="preserve"> Time!N$106</f>
        <v>2020</v>
      </c>
      <c r="O16" s="214">
        <f xml:space="preserve"> Time!O$106</f>
        <v>2021</v>
      </c>
      <c r="P16" s="214">
        <f xml:space="preserve"> Time!P$106</f>
        <v>2022</v>
      </c>
      <c r="Q16" s="214">
        <f xml:space="preserve"> Time!Q$106</f>
        <v>2023</v>
      </c>
      <c r="R16" s="214">
        <f xml:space="preserve"> Time!R$106</f>
        <v>2024</v>
      </c>
      <c r="S16" s="214">
        <f xml:space="preserve"> Time!S$106</f>
        <v>2025</v>
      </c>
      <c r="T16" s="214">
        <f xml:space="preserve"> Time!T$106</f>
        <v>2026</v>
      </c>
      <c r="U16" s="214">
        <f xml:space="preserve"> Time!U$106</f>
        <v>2027</v>
      </c>
      <c r="V16" s="214">
        <f xml:space="preserve"> Time!V$106</f>
        <v>2028</v>
      </c>
      <c r="W16" s="214">
        <f xml:space="preserve"> Time!W$106</f>
        <v>2029</v>
      </c>
      <c r="X16" s="214">
        <f xml:space="preserve"> Time!X$106</f>
        <v>2030</v>
      </c>
    </row>
    <row r="17" spans="1:24" s="154" customFormat="1" x14ac:dyDescent="0.2">
      <c r="A17" s="155"/>
      <c r="B17" s="156"/>
      <c r="C17" s="157"/>
      <c r="E17" s="154" t="s">
        <v>744</v>
      </c>
      <c r="G17" s="154" t="s">
        <v>644</v>
      </c>
      <c r="J17" s="170">
        <f xml:space="preserve"> IF( J16 = $F15, 1, 0 )</f>
        <v>0</v>
      </c>
      <c r="K17" s="170">
        <f t="shared" ref="K17:T17" si="0" xml:space="preserve"> IF( K16 = $F15, 1, 0 )</f>
        <v>0</v>
      </c>
      <c r="L17" s="170">
        <f t="shared" si="0"/>
        <v>0</v>
      </c>
      <c r="M17" s="170">
        <f t="shared" si="0"/>
        <v>0</v>
      </c>
      <c r="N17" s="170">
        <f t="shared" si="0"/>
        <v>0</v>
      </c>
      <c r="O17" s="170">
        <f t="shared" si="0"/>
        <v>0</v>
      </c>
      <c r="P17" s="170">
        <f t="shared" si="0"/>
        <v>0</v>
      </c>
      <c r="Q17" s="170">
        <f t="shared" si="0"/>
        <v>0</v>
      </c>
      <c r="R17" s="170">
        <f t="shared" si="0"/>
        <v>0</v>
      </c>
      <c r="S17" s="170">
        <f t="shared" si="0"/>
        <v>1</v>
      </c>
      <c r="T17" s="170">
        <f t="shared" si="0"/>
        <v>0</v>
      </c>
      <c r="U17" s="170">
        <f t="shared" ref="U17:V17" si="1" xml:space="preserve"> IF( U16 = $F15, 1, 0 )</f>
        <v>0</v>
      </c>
      <c r="V17" s="170">
        <f t="shared" si="1"/>
        <v>0</v>
      </c>
      <c r="W17" s="170">
        <f t="shared" ref="W17:X17" si="2" xml:space="preserve"> IF( W16 = $F15, 1, 0 )</f>
        <v>0</v>
      </c>
      <c r="X17" s="170">
        <f t="shared" si="2"/>
        <v>0</v>
      </c>
    </row>
    <row r="18" spans="1:24" s="154" customFormat="1" x14ac:dyDescent="0.2">
      <c r="A18" s="155"/>
      <c r="B18" s="156"/>
      <c r="C18" s="157"/>
      <c r="E18" s="154" t="s">
        <v>745</v>
      </c>
      <c r="G18" s="154" t="s">
        <v>644</v>
      </c>
      <c r="J18" s="170">
        <f xml:space="preserve"> IF( H17 = 1, 1, 0 )</f>
        <v>0</v>
      </c>
      <c r="K18" s="170">
        <f t="shared" ref="K18:U18" si="3" xml:space="preserve"> IF( I17 = 1, 1, 0 )</f>
        <v>0</v>
      </c>
      <c r="L18" s="170">
        <f t="shared" si="3"/>
        <v>0</v>
      </c>
      <c r="M18" s="170">
        <f t="shared" si="3"/>
        <v>0</v>
      </c>
      <c r="N18" s="170">
        <f t="shared" si="3"/>
        <v>0</v>
      </c>
      <c r="O18" s="170">
        <f t="shared" si="3"/>
        <v>0</v>
      </c>
      <c r="P18" s="170">
        <f t="shared" si="3"/>
        <v>0</v>
      </c>
      <c r="Q18" s="170">
        <f t="shared" si="3"/>
        <v>0</v>
      </c>
      <c r="R18" s="170">
        <f t="shared" si="3"/>
        <v>0</v>
      </c>
      <c r="S18" s="170">
        <f t="shared" si="3"/>
        <v>0</v>
      </c>
      <c r="T18" s="170">
        <f t="shared" si="3"/>
        <v>0</v>
      </c>
      <c r="U18" s="170">
        <f t="shared" si="3"/>
        <v>1</v>
      </c>
      <c r="V18" s="170">
        <f xml:space="preserve"> IF( T17 = 1, 1, 0 )</f>
        <v>0</v>
      </c>
      <c r="W18" s="170">
        <f xml:space="preserve"> IF( U17 = 1, 1, 0 )</f>
        <v>0</v>
      </c>
      <c r="X18" s="170">
        <f xml:space="preserve"> IF( V17 = 1, 1, 0 )</f>
        <v>0</v>
      </c>
    </row>
    <row r="19" spans="1:24" s="154" customFormat="1" x14ac:dyDescent="0.2">
      <c r="A19" s="155"/>
      <c r="B19" s="156"/>
      <c r="C19" s="157"/>
    </row>
    <row r="20" spans="1:24" s="154" customFormat="1" x14ac:dyDescent="0.2">
      <c r="A20" s="155"/>
      <c r="B20" s="156"/>
      <c r="C20" s="157"/>
      <c r="E20" s="291" t="str">
        <f xml:space="preserve"> E10</f>
        <v>Payments after abatements and deferrals and other bespoke adjustments - bioresources (sludge)</v>
      </c>
      <c r="G20" s="291" t="str">
        <f xml:space="preserve"> G10</f>
        <v>£m (2017-18 FYA CPIH prices)</v>
      </c>
      <c r="J20" s="291">
        <f t="shared" ref="J20:T20" si="4" xml:space="preserve"> IF( J18 = 1, $F10, 0 )</f>
        <v>0</v>
      </c>
      <c r="K20" s="291">
        <f t="shared" si="4"/>
        <v>0</v>
      </c>
      <c r="L20" s="291">
        <f t="shared" si="4"/>
        <v>0</v>
      </c>
      <c r="M20" s="291">
        <f t="shared" si="4"/>
        <v>0</v>
      </c>
      <c r="N20" s="291">
        <f t="shared" si="4"/>
        <v>0</v>
      </c>
      <c r="O20" s="291">
        <f t="shared" si="4"/>
        <v>0</v>
      </c>
      <c r="P20" s="291">
        <f t="shared" si="4"/>
        <v>0</v>
      </c>
      <c r="Q20" s="291">
        <f t="shared" si="4"/>
        <v>0</v>
      </c>
      <c r="R20" s="291">
        <f t="shared" si="4"/>
        <v>0</v>
      </c>
      <c r="S20" s="291">
        <f t="shared" si="4"/>
        <v>0</v>
      </c>
      <c r="T20" s="291">
        <f t="shared" si="4"/>
        <v>0</v>
      </c>
      <c r="U20" s="291">
        <f t="shared" ref="U20:V20" si="5" xml:space="preserve"> IF( U18 = 1, $F10, 0 )</f>
        <v>0</v>
      </c>
      <c r="V20" s="291">
        <f t="shared" si="5"/>
        <v>0</v>
      </c>
      <c r="W20" s="291">
        <f t="shared" ref="W20:X20" si="6" xml:space="preserve"> IF( W18 = 1, $F10, 0 )</f>
        <v>0</v>
      </c>
      <c r="X20" s="291">
        <f t="shared" si="6"/>
        <v>0</v>
      </c>
    </row>
    <row r="21" spans="1:24" x14ac:dyDescent="0.2">
      <c r="B21" s="97"/>
      <c r="E21" s="91"/>
    </row>
    <row r="22" spans="1:24" s="209" customFormat="1" ht="13.5" x14ac:dyDescent="0.25">
      <c r="A22" s="209" t="s">
        <v>746</v>
      </c>
    </row>
    <row r="23" spans="1:24" x14ac:dyDescent="0.2">
      <c r="B23" s="97"/>
      <c r="E23" s="91"/>
    </row>
    <row r="24" spans="1:24" x14ac:dyDescent="0.2">
      <c r="B24" s="97" t="s">
        <v>749</v>
      </c>
      <c r="E24" s="91"/>
    </row>
    <row r="25" spans="1:24" s="88" customFormat="1" x14ac:dyDescent="0.2">
      <c r="A25" s="96"/>
      <c r="B25" s="97"/>
      <c r="C25" s="98"/>
      <c r="E25" s="201" t="str">
        <f t="shared" ref="E25:X25" si="7" xml:space="preserve"> E$20</f>
        <v>Payments after abatements and deferrals and other bespoke adjustments - bioresources (sludge)</v>
      </c>
      <c r="F25" s="201">
        <f t="shared" si="7"/>
        <v>0</v>
      </c>
      <c r="G25" s="201" t="str">
        <f t="shared" si="7"/>
        <v>£m (2017-18 FYA CPIH prices)</v>
      </c>
      <c r="H25" s="201">
        <f t="shared" si="7"/>
        <v>0</v>
      </c>
      <c r="I25" s="201">
        <f t="shared" si="7"/>
        <v>0</v>
      </c>
      <c r="J25" s="201">
        <f t="shared" si="7"/>
        <v>0</v>
      </c>
      <c r="K25" s="201">
        <f t="shared" si="7"/>
        <v>0</v>
      </c>
      <c r="L25" s="201">
        <f t="shared" si="7"/>
        <v>0</v>
      </c>
      <c r="M25" s="201">
        <f t="shared" si="7"/>
        <v>0</v>
      </c>
      <c r="N25" s="201">
        <f t="shared" si="7"/>
        <v>0</v>
      </c>
      <c r="O25" s="201">
        <f t="shared" si="7"/>
        <v>0</v>
      </c>
      <c r="P25" s="201">
        <f t="shared" si="7"/>
        <v>0</v>
      </c>
      <c r="Q25" s="201">
        <f t="shared" si="7"/>
        <v>0</v>
      </c>
      <c r="R25" s="201">
        <f t="shared" si="7"/>
        <v>0</v>
      </c>
      <c r="S25" s="201">
        <f t="shared" si="7"/>
        <v>0</v>
      </c>
      <c r="T25" s="201">
        <f t="shared" si="7"/>
        <v>0</v>
      </c>
      <c r="U25" s="201">
        <f t="shared" si="7"/>
        <v>0</v>
      </c>
      <c r="V25" s="201">
        <f t="shared" si="7"/>
        <v>0</v>
      </c>
      <c r="W25" s="201">
        <f t="shared" si="7"/>
        <v>0</v>
      </c>
      <c r="X25" s="201">
        <f t="shared" si="7"/>
        <v>0</v>
      </c>
    </row>
    <row r="26" spans="1:24" s="86" customFormat="1" x14ac:dyDescent="0.2">
      <c r="A26" s="92"/>
      <c r="B26" s="93"/>
      <c r="C26" s="94"/>
      <c r="D26" s="75"/>
      <c r="E26" s="317" t="str">
        <f xml:space="preserve"> Index!E$16</f>
        <v>November CPIH cumulative inflation factor</v>
      </c>
      <c r="F26" s="317">
        <f xml:space="preserve"> Index!F$16</f>
        <v>0</v>
      </c>
      <c r="G26" s="317" t="str">
        <f xml:space="preserve"> Index!G$16</f>
        <v>Percentage</v>
      </c>
      <c r="H26" s="317">
        <f xml:space="preserve"> Index!H$16</f>
        <v>0</v>
      </c>
      <c r="I26" s="317">
        <f xml:space="preserve"> Index!I$16</f>
        <v>0</v>
      </c>
      <c r="J26" s="298">
        <f xml:space="preserve"> Index!J$16</f>
        <v>0</v>
      </c>
      <c r="K26" s="298">
        <f xml:space="preserve"> Index!K$16</f>
        <v>0</v>
      </c>
      <c r="L26" s="298">
        <f xml:space="preserve"> Index!L$16</f>
        <v>1</v>
      </c>
      <c r="M26" s="298">
        <f xml:space="preserve"> Index!M$16</f>
        <v>1</v>
      </c>
      <c r="N26" s="298">
        <f xml:space="preserve"> Index!N$16</f>
        <v>1</v>
      </c>
      <c r="O26" s="298">
        <f xml:space="preserve"> Index!O$16</f>
        <v>1</v>
      </c>
      <c r="P26" s="298">
        <f xml:space="preserve"> Index!P$16</f>
        <v>1</v>
      </c>
      <c r="Q26" s="298">
        <f xml:space="preserve"> Index!Q$16</f>
        <v>1</v>
      </c>
      <c r="R26" s="298">
        <f xml:space="preserve"> Index!R$16</f>
        <v>1</v>
      </c>
      <c r="S26" s="298">
        <f xml:space="preserve"> Index!S$16</f>
        <v>1</v>
      </c>
      <c r="T26" s="298">
        <f xml:space="preserve"> Index!T$16</f>
        <v>1</v>
      </c>
      <c r="U26" s="298">
        <f xml:space="preserve"> Index!U$16</f>
        <v>1</v>
      </c>
      <c r="V26" s="298">
        <f xml:space="preserve"> Index!V$16</f>
        <v>1</v>
      </c>
      <c r="W26" s="298">
        <f xml:space="preserve"> Index!W$16</f>
        <v>1</v>
      </c>
      <c r="X26" s="298">
        <f xml:space="preserve"> Index!X$16</f>
        <v>1</v>
      </c>
    </row>
    <row r="27" spans="1:24" s="154" customFormat="1" x14ac:dyDescent="0.2">
      <c r="A27" s="155"/>
      <c r="B27" s="156"/>
      <c r="C27" s="157"/>
      <c r="E27" s="154" t="s">
        <v>750</v>
      </c>
      <c r="G27" s="154" t="s">
        <v>602</v>
      </c>
      <c r="J27" s="154">
        <f t="shared" ref="J27:P27" si="8" xml:space="preserve"> J25 * J26</f>
        <v>0</v>
      </c>
      <c r="K27" s="154">
        <f t="shared" si="8"/>
        <v>0</v>
      </c>
      <c r="L27" s="154">
        <f t="shared" si="8"/>
        <v>0</v>
      </c>
      <c r="M27" s="154">
        <f t="shared" si="8"/>
        <v>0</v>
      </c>
      <c r="N27" s="154">
        <f t="shared" si="8"/>
        <v>0</v>
      </c>
      <c r="O27" s="154">
        <f t="shared" si="8"/>
        <v>0</v>
      </c>
      <c r="P27" s="154">
        <f t="shared" si="8"/>
        <v>0</v>
      </c>
      <c r="Q27" s="154">
        <f t="shared" ref="Q27:V27" si="9" xml:space="preserve"> Q25 * Q26</f>
        <v>0</v>
      </c>
      <c r="R27" s="154">
        <f t="shared" si="9"/>
        <v>0</v>
      </c>
      <c r="S27" s="154">
        <f t="shared" si="9"/>
        <v>0</v>
      </c>
      <c r="T27" s="154">
        <f t="shared" si="9"/>
        <v>0</v>
      </c>
      <c r="U27" s="154">
        <f t="shared" si="9"/>
        <v>0</v>
      </c>
      <c r="V27" s="154">
        <f t="shared" si="9"/>
        <v>0</v>
      </c>
      <c r="W27" s="154">
        <f t="shared" ref="W27:X27" si="10" xml:space="preserve"> W25 * W26</f>
        <v>0</v>
      </c>
      <c r="X27" s="154">
        <f t="shared" si="10"/>
        <v>0</v>
      </c>
    </row>
    <row r="28" spans="1:24" x14ac:dyDescent="0.2">
      <c r="B28" s="97"/>
      <c r="E28" s="91"/>
    </row>
    <row r="29" spans="1:24" x14ac:dyDescent="0.2">
      <c r="B29" s="97" t="s">
        <v>751</v>
      </c>
      <c r="E29" s="91"/>
    </row>
    <row r="30" spans="1:24" s="86" customFormat="1" x14ac:dyDescent="0.2">
      <c r="A30" s="92"/>
      <c r="B30" s="97"/>
      <c r="C30" s="94"/>
      <c r="D30" s="75"/>
      <c r="E30" s="317" t="str">
        <f xml:space="preserve"> InpActive!E$90</f>
        <v>Marginal tax rate</v>
      </c>
      <c r="F30" s="317">
        <f xml:space="preserve"> InpActive!F$90</f>
        <v>0</v>
      </c>
      <c r="G30" s="317" t="str">
        <f xml:space="preserve"> InpActive!G$90</f>
        <v>Percentage</v>
      </c>
      <c r="H30" s="317">
        <f xml:space="preserve"> InpActive!H$90</f>
        <v>0</v>
      </c>
      <c r="I30" s="317">
        <f xml:space="preserve"> InpActive!I$90</f>
        <v>0</v>
      </c>
      <c r="J30" s="317">
        <f xml:space="preserve"> InpActive!J$90</f>
        <v>0</v>
      </c>
      <c r="K30" s="317">
        <f xml:space="preserve"> InpActive!K$90</f>
        <v>0</v>
      </c>
      <c r="L30" s="317">
        <f xml:space="preserve"> InpActive!L$90</f>
        <v>0</v>
      </c>
      <c r="M30" s="317">
        <f xml:space="preserve"> InpActive!M$90</f>
        <v>0</v>
      </c>
      <c r="N30" s="317">
        <f xml:space="preserve"> InpActive!N$90</f>
        <v>0</v>
      </c>
      <c r="O30" s="317">
        <f xml:space="preserve"> InpActive!O$90</f>
        <v>0</v>
      </c>
      <c r="P30" s="317">
        <f xml:space="preserve"> InpActive!P$90</f>
        <v>0</v>
      </c>
      <c r="Q30" s="317">
        <f xml:space="preserve"> InpActive!Q$90</f>
        <v>0</v>
      </c>
      <c r="R30" s="317">
        <f xml:space="preserve"> InpActive!R$90</f>
        <v>0</v>
      </c>
      <c r="S30" s="317">
        <f xml:space="preserve"> InpActive!S$90</f>
        <v>0</v>
      </c>
      <c r="T30" s="317">
        <f xml:space="preserve"> InpActive!T$90</f>
        <v>0</v>
      </c>
      <c r="U30" s="317">
        <f xml:space="preserve"> InpActive!U$90</f>
        <v>0</v>
      </c>
      <c r="V30" s="317">
        <f xml:space="preserve"> InpActive!V$90</f>
        <v>0</v>
      </c>
      <c r="W30" s="317">
        <f xml:space="preserve"> InpActive!W$90</f>
        <v>0</v>
      </c>
      <c r="X30" s="317">
        <f xml:space="preserve"> InpActive!X$90</f>
        <v>0</v>
      </c>
    </row>
    <row r="31" spans="1:24" x14ac:dyDescent="0.2">
      <c r="B31" s="97"/>
      <c r="E31" s="91" t="s">
        <v>752</v>
      </c>
      <c r="G31" s="88" t="s">
        <v>583</v>
      </c>
      <c r="J31" s="95">
        <f xml:space="preserve"> 1 / ( 1 - J30 ) - 1</f>
        <v>0</v>
      </c>
      <c r="K31" s="95">
        <f t="shared" ref="K31:T31" si="11" xml:space="preserve"> 1 / ( 1 - K30 ) - 1</f>
        <v>0</v>
      </c>
      <c r="L31" s="95">
        <f t="shared" si="11"/>
        <v>0</v>
      </c>
      <c r="M31" s="95">
        <f t="shared" si="11"/>
        <v>0</v>
      </c>
      <c r="N31" s="95">
        <f t="shared" si="11"/>
        <v>0</v>
      </c>
      <c r="O31" s="95">
        <f t="shared" si="11"/>
        <v>0</v>
      </c>
      <c r="P31" s="95">
        <f t="shared" si="11"/>
        <v>0</v>
      </c>
      <c r="Q31" s="95">
        <f t="shared" si="11"/>
        <v>0</v>
      </c>
      <c r="R31" s="95">
        <f t="shared" si="11"/>
        <v>0</v>
      </c>
      <c r="S31" s="95">
        <f t="shared" si="11"/>
        <v>0</v>
      </c>
      <c r="T31" s="95">
        <f t="shared" si="11"/>
        <v>0</v>
      </c>
      <c r="U31" s="95">
        <f t="shared" ref="U31:V31" si="12" xml:space="preserve"> 1 / ( 1 - U30 ) - 1</f>
        <v>0</v>
      </c>
      <c r="V31" s="95">
        <f t="shared" si="12"/>
        <v>0</v>
      </c>
      <c r="W31" s="95">
        <f t="shared" ref="W31:X31" si="13" xml:space="preserve"> 1 / ( 1 - W30 ) - 1</f>
        <v>0</v>
      </c>
      <c r="X31" s="95">
        <f t="shared" si="13"/>
        <v>0</v>
      </c>
    </row>
    <row r="32" spans="1:24" x14ac:dyDescent="0.2">
      <c r="B32" s="97"/>
      <c r="E32" s="91"/>
    </row>
    <row r="33" spans="1:24" s="154" customFormat="1" x14ac:dyDescent="0.2">
      <c r="A33" s="155"/>
      <c r="B33" s="156"/>
      <c r="C33" s="157"/>
      <c r="E33" s="154" t="str">
        <f xml:space="preserve"> E$27</f>
        <v>ODI value nominal prices</v>
      </c>
      <c r="G33" s="154" t="str">
        <f xml:space="preserve"> G$27</f>
        <v>£m (nominal)</v>
      </c>
      <c r="H33" s="154">
        <f t="shared" ref="H33:X33" si="14" xml:space="preserve"> H$27</f>
        <v>0</v>
      </c>
      <c r="I33" s="154">
        <f t="shared" si="14"/>
        <v>0</v>
      </c>
      <c r="J33" s="154">
        <f t="shared" si="14"/>
        <v>0</v>
      </c>
      <c r="K33" s="154">
        <f t="shared" si="14"/>
        <v>0</v>
      </c>
      <c r="L33" s="154">
        <f t="shared" si="14"/>
        <v>0</v>
      </c>
      <c r="M33" s="154">
        <f t="shared" si="14"/>
        <v>0</v>
      </c>
      <c r="N33" s="154">
        <f t="shared" si="14"/>
        <v>0</v>
      </c>
      <c r="O33" s="154">
        <f t="shared" si="14"/>
        <v>0</v>
      </c>
      <c r="P33" s="154">
        <f t="shared" si="14"/>
        <v>0</v>
      </c>
      <c r="Q33" s="154">
        <f t="shared" si="14"/>
        <v>0</v>
      </c>
      <c r="R33" s="154">
        <f t="shared" si="14"/>
        <v>0</v>
      </c>
      <c r="S33" s="154">
        <f t="shared" si="14"/>
        <v>0</v>
      </c>
      <c r="T33" s="154">
        <f t="shared" si="14"/>
        <v>0</v>
      </c>
      <c r="U33" s="154">
        <f t="shared" si="14"/>
        <v>0</v>
      </c>
      <c r="V33" s="154">
        <f t="shared" si="14"/>
        <v>0</v>
      </c>
      <c r="W33" s="154">
        <f t="shared" si="14"/>
        <v>0</v>
      </c>
      <c r="X33" s="154">
        <f t="shared" si="14"/>
        <v>0</v>
      </c>
    </row>
    <row r="34" spans="1:24" s="95" customFormat="1" x14ac:dyDescent="0.2">
      <c r="A34" s="194"/>
      <c r="B34" s="195"/>
      <c r="E34" s="95" t="str">
        <f xml:space="preserve"> E$31</f>
        <v>Tax on Tax geometric uplift</v>
      </c>
      <c r="F34" s="95">
        <f t="shared" ref="F34:X34" si="15" xml:space="preserve"> F$31</f>
        <v>0</v>
      </c>
      <c r="G34" s="95" t="str">
        <f t="shared" si="15"/>
        <v>Percentage</v>
      </c>
      <c r="H34" s="95">
        <f t="shared" si="15"/>
        <v>0</v>
      </c>
      <c r="I34" s="95">
        <f t="shared" si="15"/>
        <v>0</v>
      </c>
      <c r="J34" s="95">
        <f t="shared" si="15"/>
        <v>0</v>
      </c>
      <c r="K34" s="95">
        <f t="shared" si="15"/>
        <v>0</v>
      </c>
      <c r="L34" s="95">
        <f t="shared" si="15"/>
        <v>0</v>
      </c>
      <c r="M34" s="95">
        <f t="shared" si="15"/>
        <v>0</v>
      </c>
      <c r="N34" s="95">
        <f t="shared" si="15"/>
        <v>0</v>
      </c>
      <c r="O34" s="95">
        <f t="shared" si="15"/>
        <v>0</v>
      </c>
      <c r="P34" s="95">
        <f t="shared" si="15"/>
        <v>0</v>
      </c>
      <c r="Q34" s="95">
        <f t="shared" si="15"/>
        <v>0</v>
      </c>
      <c r="R34" s="95">
        <f t="shared" si="15"/>
        <v>0</v>
      </c>
      <c r="S34" s="95">
        <f t="shared" si="15"/>
        <v>0</v>
      </c>
      <c r="T34" s="95">
        <f t="shared" si="15"/>
        <v>0</v>
      </c>
      <c r="U34" s="95">
        <f t="shared" si="15"/>
        <v>0</v>
      </c>
      <c r="V34" s="95">
        <f t="shared" si="15"/>
        <v>0</v>
      </c>
      <c r="W34" s="95">
        <f t="shared" si="15"/>
        <v>0</v>
      </c>
      <c r="X34" s="95">
        <f t="shared" si="15"/>
        <v>0</v>
      </c>
    </row>
    <row r="35" spans="1:24" s="154" customFormat="1" x14ac:dyDescent="0.2">
      <c r="A35" s="155"/>
      <c r="B35" s="156"/>
      <c r="C35" s="157"/>
      <c r="E35" s="154" t="s">
        <v>753</v>
      </c>
      <c r="G35" s="154" t="s">
        <v>602</v>
      </c>
      <c r="H35" s="154">
        <f xml:space="preserve"> SUM( J35:T35 )</f>
        <v>0</v>
      </c>
      <c r="J35" s="154">
        <f t="shared" ref="J35:T35" si="16" xml:space="preserve"> J33 * J34</f>
        <v>0</v>
      </c>
      <c r="K35" s="154">
        <f t="shared" si="16"/>
        <v>0</v>
      </c>
      <c r="L35" s="154">
        <f t="shared" si="16"/>
        <v>0</v>
      </c>
      <c r="M35" s="154">
        <f t="shared" si="16"/>
        <v>0</v>
      </c>
      <c r="N35" s="154">
        <f t="shared" si="16"/>
        <v>0</v>
      </c>
      <c r="O35" s="154">
        <f t="shared" si="16"/>
        <v>0</v>
      </c>
      <c r="P35" s="154">
        <f t="shared" si="16"/>
        <v>0</v>
      </c>
      <c r="Q35" s="154">
        <f t="shared" si="16"/>
        <v>0</v>
      </c>
      <c r="R35" s="154">
        <f t="shared" si="16"/>
        <v>0</v>
      </c>
      <c r="S35" s="154">
        <f t="shared" si="16"/>
        <v>0</v>
      </c>
      <c r="T35" s="154">
        <f t="shared" si="16"/>
        <v>0</v>
      </c>
      <c r="U35" s="154">
        <f t="shared" ref="U35:V35" si="17" xml:space="preserve"> U33 * U34</f>
        <v>0</v>
      </c>
      <c r="V35" s="154">
        <f t="shared" si="17"/>
        <v>0</v>
      </c>
      <c r="W35" s="154">
        <f t="shared" ref="W35:X35" si="18" xml:space="preserve"> W33 * W34</f>
        <v>0</v>
      </c>
      <c r="X35" s="154">
        <f t="shared" si="18"/>
        <v>0</v>
      </c>
    </row>
    <row r="36" spans="1:24" s="154" customFormat="1" x14ac:dyDescent="0.2">
      <c r="A36" s="155"/>
      <c r="B36" s="156"/>
      <c r="C36" s="157"/>
    </row>
    <row r="37" spans="1:24" s="154" customFormat="1" x14ac:dyDescent="0.2">
      <c r="A37" s="155"/>
      <c r="B37" s="156"/>
      <c r="C37" s="157"/>
      <c r="E37" s="154" t="str">
        <f xml:space="preserve"> E$27</f>
        <v>ODI value nominal prices</v>
      </c>
      <c r="F37" s="154">
        <f t="shared" ref="F37:X37" si="19" xml:space="preserve"> F$27</f>
        <v>0</v>
      </c>
      <c r="G37" s="154" t="str">
        <f t="shared" si="19"/>
        <v>£m (nominal)</v>
      </c>
      <c r="H37" s="154">
        <f t="shared" si="19"/>
        <v>0</v>
      </c>
      <c r="I37" s="154">
        <f t="shared" si="19"/>
        <v>0</v>
      </c>
      <c r="J37" s="154">
        <f t="shared" si="19"/>
        <v>0</v>
      </c>
      <c r="K37" s="154">
        <f t="shared" si="19"/>
        <v>0</v>
      </c>
      <c r="L37" s="154">
        <f t="shared" si="19"/>
        <v>0</v>
      </c>
      <c r="M37" s="154">
        <f t="shared" si="19"/>
        <v>0</v>
      </c>
      <c r="N37" s="154">
        <f t="shared" si="19"/>
        <v>0</v>
      </c>
      <c r="O37" s="154">
        <f t="shared" si="19"/>
        <v>0</v>
      </c>
      <c r="P37" s="154">
        <f t="shared" si="19"/>
        <v>0</v>
      </c>
      <c r="Q37" s="154">
        <f t="shared" si="19"/>
        <v>0</v>
      </c>
      <c r="R37" s="154">
        <f t="shared" si="19"/>
        <v>0</v>
      </c>
      <c r="S37" s="154">
        <f t="shared" si="19"/>
        <v>0</v>
      </c>
      <c r="T37" s="154">
        <f t="shared" si="19"/>
        <v>0</v>
      </c>
      <c r="U37" s="154">
        <f t="shared" si="19"/>
        <v>0</v>
      </c>
      <c r="V37" s="154">
        <f t="shared" si="19"/>
        <v>0</v>
      </c>
      <c r="W37" s="154">
        <f t="shared" si="19"/>
        <v>0</v>
      </c>
      <c r="X37" s="154">
        <f t="shared" si="19"/>
        <v>0</v>
      </c>
    </row>
    <row r="38" spans="1:24" s="154" customFormat="1" x14ac:dyDescent="0.2">
      <c r="A38" s="155"/>
      <c r="B38" s="156"/>
      <c r="C38" s="157"/>
      <c r="E38" s="154" t="str">
        <f xml:space="preserve"> E$35</f>
        <v>Tax on nominal ODI</v>
      </c>
      <c r="F38" s="154">
        <f t="shared" ref="F38:X38" si="20" xml:space="preserve"> F$35</f>
        <v>0</v>
      </c>
      <c r="G38" s="154" t="str">
        <f t="shared" si="20"/>
        <v>£m (nominal)</v>
      </c>
      <c r="H38" s="154">
        <f t="shared" si="20"/>
        <v>0</v>
      </c>
      <c r="I38" s="154">
        <f t="shared" si="20"/>
        <v>0</v>
      </c>
      <c r="J38" s="154">
        <f t="shared" si="20"/>
        <v>0</v>
      </c>
      <c r="K38" s="154">
        <f t="shared" si="20"/>
        <v>0</v>
      </c>
      <c r="L38" s="154">
        <f t="shared" si="20"/>
        <v>0</v>
      </c>
      <c r="M38" s="154">
        <f t="shared" si="20"/>
        <v>0</v>
      </c>
      <c r="N38" s="154">
        <f t="shared" si="20"/>
        <v>0</v>
      </c>
      <c r="O38" s="154">
        <f t="shared" si="20"/>
        <v>0</v>
      </c>
      <c r="P38" s="154">
        <f t="shared" si="20"/>
        <v>0</v>
      </c>
      <c r="Q38" s="154">
        <f t="shared" si="20"/>
        <v>0</v>
      </c>
      <c r="R38" s="154">
        <f t="shared" si="20"/>
        <v>0</v>
      </c>
      <c r="S38" s="154">
        <f t="shared" si="20"/>
        <v>0</v>
      </c>
      <c r="T38" s="154">
        <f t="shared" si="20"/>
        <v>0</v>
      </c>
      <c r="U38" s="154">
        <f t="shared" si="20"/>
        <v>0</v>
      </c>
      <c r="V38" s="154">
        <f t="shared" si="20"/>
        <v>0</v>
      </c>
      <c r="W38" s="154">
        <f t="shared" si="20"/>
        <v>0</v>
      </c>
      <c r="X38" s="154">
        <f t="shared" si="20"/>
        <v>0</v>
      </c>
    </row>
    <row r="39" spans="1:24" s="154" customFormat="1" x14ac:dyDescent="0.2">
      <c r="A39" s="155"/>
      <c r="B39" s="156"/>
      <c r="C39" s="157"/>
      <c r="E39" s="154" t="s">
        <v>754</v>
      </c>
      <c r="G39" s="154" t="s">
        <v>602</v>
      </c>
      <c r="H39" s="154">
        <f xml:space="preserve"> SUM( J39:T39 )</f>
        <v>0</v>
      </c>
      <c r="J39" s="162">
        <f xml:space="preserve"> J37 + J38</f>
        <v>0</v>
      </c>
      <c r="K39" s="162">
        <f t="shared" ref="K39:T39" si="21" xml:space="preserve"> K37 + K38</f>
        <v>0</v>
      </c>
      <c r="L39" s="162">
        <f t="shared" si="21"/>
        <v>0</v>
      </c>
      <c r="M39" s="162">
        <f t="shared" si="21"/>
        <v>0</v>
      </c>
      <c r="N39" s="162">
        <f t="shared" si="21"/>
        <v>0</v>
      </c>
      <c r="O39" s="162">
        <f t="shared" si="21"/>
        <v>0</v>
      </c>
      <c r="P39" s="162">
        <f t="shared" si="21"/>
        <v>0</v>
      </c>
      <c r="Q39" s="162">
        <f t="shared" si="21"/>
        <v>0</v>
      </c>
      <c r="R39" s="162">
        <f t="shared" si="21"/>
        <v>0</v>
      </c>
      <c r="S39" s="162">
        <f t="shared" si="21"/>
        <v>0</v>
      </c>
      <c r="T39" s="162">
        <f t="shared" si="21"/>
        <v>0</v>
      </c>
      <c r="U39" s="162">
        <f t="shared" ref="U39:V39" si="22" xml:space="preserve"> U37 + U38</f>
        <v>0</v>
      </c>
      <c r="V39" s="162">
        <f t="shared" si="22"/>
        <v>0</v>
      </c>
      <c r="W39" s="162">
        <f t="shared" ref="W39:X39" si="23" xml:space="preserve"> W37 + W38</f>
        <v>0</v>
      </c>
      <c r="X39" s="162">
        <f t="shared" si="23"/>
        <v>0</v>
      </c>
    </row>
    <row r="40" spans="1:24" x14ac:dyDescent="0.2">
      <c r="B40" s="97"/>
      <c r="E40" s="91"/>
      <c r="H40" s="88"/>
      <c r="I40" s="88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</row>
    <row r="41" spans="1:24" x14ac:dyDescent="0.2">
      <c r="B41" s="97" t="s">
        <v>763</v>
      </c>
      <c r="E41" s="91"/>
      <c r="H41" s="88"/>
      <c r="I41" s="88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</row>
    <row r="42" spans="1:24" s="154" customFormat="1" x14ac:dyDescent="0.2">
      <c r="A42" s="155"/>
      <c r="B42" s="156"/>
      <c r="C42" s="157"/>
      <c r="E42" s="154" t="str">
        <f>E39</f>
        <v xml:space="preserve">Total value of ODI </v>
      </c>
      <c r="G42" s="154" t="str">
        <f t="shared" ref="G42" si="24">G39</f>
        <v>£m (nominal)</v>
      </c>
      <c r="J42" s="154">
        <f t="shared" ref="J42:T42" si="25">J39</f>
        <v>0</v>
      </c>
      <c r="K42" s="154">
        <f t="shared" si="25"/>
        <v>0</v>
      </c>
      <c r="L42" s="154">
        <f t="shared" si="25"/>
        <v>0</v>
      </c>
      <c r="M42" s="154">
        <f t="shared" si="25"/>
        <v>0</v>
      </c>
      <c r="N42" s="154">
        <f t="shared" si="25"/>
        <v>0</v>
      </c>
      <c r="O42" s="154">
        <f t="shared" si="25"/>
        <v>0</v>
      </c>
      <c r="P42" s="154">
        <f t="shared" si="25"/>
        <v>0</v>
      </c>
      <c r="Q42" s="154">
        <f t="shared" si="25"/>
        <v>0</v>
      </c>
      <c r="R42" s="154">
        <f t="shared" si="25"/>
        <v>0</v>
      </c>
      <c r="S42" s="154">
        <f t="shared" si="25"/>
        <v>0</v>
      </c>
      <c r="T42" s="154">
        <f t="shared" si="25"/>
        <v>0</v>
      </c>
      <c r="U42" s="154">
        <f t="shared" ref="U42:V42" si="26">U39</f>
        <v>0</v>
      </c>
      <c r="V42" s="154">
        <f t="shared" si="26"/>
        <v>0</v>
      </c>
      <c r="W42" s="154">
        <f t="shared" ref="W42:X42" si="27">W39</f>
        <v>0</v>
      </c>
      <c r="X42" s="154">
        <f t="shared" si="27"/>
        <v>0</v>
      </c>
    </row>
    <row r="43" spans="1:24" s="151" customFormat="1" x14ac:dyDescent="0.2">
      <c r="A43" s="202"/>
      <c r="B43" s="203"/>
      <c r="E43" s="298" t="str">
        <f>Index!E16</f>
        <v>November CPIH cumulative inflation factor</v>
      </c>
      <c r="G43" s="298" t="str">
        <f>Index!G16</f>
        <v>Percentage</v>
      </c>
      <c r="J43" s="298">
        <f>Index!J16</f>
        <v>0</v>
      </c>
      <c r="K43" s="298">
        <f>Index!K16</f>
        <v>0</v>
      </c>
      <c r="L43" s="298">
        <f>Index!L16</f>
        <v>1</v>
      </c>
      <c r="M43" s="298">
        <f>Index!M16</f>
        <v>1</v>
      </c>
      <c r="N43" s="298">
        <f>Index!N16</f>
        <v>1</v>
      </c>
      <c r="O43" s="298">
        <f>Index!O16</f>
        <v>1</v>
      </c>
      <c r="P43" s="298">
        <f>Index!P16</f>
        <v>1</v>
      </c>
      <c r="Q43" s="298">
        <f>Index!Q16</f>
        <v>1</v>
      </c>
      <c r="R43" s="298">
        <f>Index!R16</f>
        <v>1</v>
      </c>
      <c r="S43" s="298">
        <f>Index!S16</f>
        <v>1</v>
      </c>
      <c r="T43" s="298">
        <f>Index!T16</f>
        <v>1</v>
      </c>
      <c r="U43" s="298">
        <f>Index!U16</f>
        <v>1</v>
      </c>
      <c r="V43" s="298">
        <f>Index!V16</f>
        <v>1</v>
      </c>
      <c r="W43" s="298">
        <f>Index!W16</f>
        <v>1</v>
      </c>
      <c r="X43" s="298">
        <f>Index!X16</f>
        <v>1</v>
      </c>
    </row>
    <row r="44" spans="1:24" s="291" customFormat="1" x14ac:dyDescent="0.2">
      <c r="A44" s="347"/>
      <c r="B44" s="318"/>
      <c r="C44" s="349"/>
      <c r="E44" s="291" t="str">
        <f>"ODI value in "&amp;InpActive!$F$15</f>
        <v>ODI value in £m (2017-18 FYA CPIH prices)</v>
      </c>
      <c r="G44" s="291" t="str">
        <f>InpActive!$F$15</f>
        <v>£m (2017-18 FYA CPIH prices)</v>
      </c>
      <c r="J44" s="314">
        <f>IF(J43&lt;&gt;0,J42/J43,0)</f>
        <v>0</v>
      </c>
      <c r="K44" s="314">
        <f t="shared" ref="K44:S44" si="28">IF(K43&lt;&gt;0,K42/K43,0)</f>
        <v>0</v>
      </c>
      <c r="L44" s="314">
        <f t="shared" si="28"/>
        <v>0</v>
      </c>
      <c r="M44" s="314">
        <f t="shared" si="28"/>
        <v>0</v>
      </c>
      <c r="N44" s="314">
        <f t="shared" si="28"/>
        <v>0</v>
      </c>
      <c r="O44" s="314">
        <f>IF(O43&lt;&gt;0,O42/O43,0)</f>
        <v>0</v>
      </c>
      <c r="P44" s="314">
        <f t="shared" si="28"/>
        <v>0</v>
      </c>
      <c r="Q44" s="314">
        <f>IF(Q43&lt;&gt;0,Q42/Q43,0)</f>
        <v>0</v>
      </c>
      <c r="R44" s="314">
        <f t="shared" si="28"/>
        <v>0</v>
      </c>
      <c r="S44" s="314">
        <f t="shared" si="28"/>
        <v>0</v>
      </c>
      <c r="T44" s="314">
        <f>IF(T43&lt;&gt;0,T42/T43,0)</f>
        <v>0</v>
      </c>
      <c r="U44" s="314">
        <f t="shared" ref="U44:V44" si="29">IF(U43&lt;&gt;0,U42/U43,0)</f>
        <v>0</v>
      </c>
      <c r="V44" s="314">
        <f t="shared" si="29"/>
        <v>0</v>
      </c>
      <c r="W44" s="314">
        <f t="shared" ref="W44:X44" si="30">IF(W43&lt;&gt;0,W42/W43,0)</f>
        <v>0</v>
      </c>
      <c r="X44" s="314">
        <f t="shared" si="30"/>
        <v>0</v>
      </c>
    </row>
    <row r="45" spans="1:24" s="154" customFormat="1" x14ac:dyDescent="0.2">
      <c r="A45" s="155"/>
      <c r="B45" s="156"/>
      <c r="C45" s="157"/>
    </row>
    <row r="46" spans="1:24" s="154" customFormat="1" x14ac:dyDescent="0.2">
      <c r="A46" s="155"/>
      <c r="B46" s="318" t="s">
        <v>764</v>
      </c>
      <c r="C46" s="157"/>
    </row>
    <row r="47" spans="1:24" s="154" customFormat="1" x14ac:dyDescent="0.2">
      <c r="A47" s="155"/>
      <c r="B47" s="318"/>
      <c r="C47" s="157"/>
      <c r="E47" s="160" t="str">
        <f>Index!E$20</f>
        <v>Adjustment factor for 2017-18 to 2022-23 FYA CPIH</v>
      </c>
      <c r="F47" s="160">
        <f>Index!F$20</f>
        <v>1.1806332960179113</v>
      </c>
      <c r="G47" s="160" t="str">
        <f>Index!G$20</f>
        <v>Factor</v>
      </c>
    </row>
    <row r="48" spans="1:24" s="160" customFormat="1" x14ac:dyDescent="0.2">
      <c r="A48" s="158"/>
      <c r="B48" s="159"/>
      <c r="E48" s="295" t="str">
        <f>InpActive!E126</f>
        <v>Unadjusted revenue (URt in last determination) - bioresources (sludge)</v>
      </c>
      <c r="F48" s="295">
        <f>InpActive!F126</f>
        <v>0</v>
      </c>
      <c r="G48" s="295" t="str">
        <f>InpActive!G126</f>
        <v>£m (2022-23 FYA CPIH prices)</v>
      </c>
      <c r="H48" s="295">
        <f>InpActive!H126</f>
        <v>0</v>
      </c>
      <c r="I48" s="295">
        <f>InpActive!I126</f>
        <v>0</v>
      </c>
      <c r="J48" s="295">
        <f>InpActive!J126</f>
        <v>0</v>
      </c>
      <c r="K48" s="295">
        <f>InpActive!K126</f>
        <v>0</v>
      </c>
      <c r="L48" s="295">
        <f>InpActive!L126</f>
        <v>0</v>
      </c>
      <c r="M48" s="295">
        <f>InpActive!M126</f>
        <v>0</v>
      </c>
      <c r="N48" s="295">
        <f>InpActive!N126</f>
        <v>0</v>
      </c>
      <c r="O48" s="295">
        <f>InpActive!O126</f>
        <v>0</v>
      </c>
      <c r="P48" s="295">
        <f>InpActive!P126</f>
        <v>0</v>
      </c>
      <c r="Q48" s="295">
        <f>InpActive!Q126</f>
        <v>0</v>
      </c>
      <c r="R48" s="295">
        <f>InpActive!R126</f>
        <v>0</v>
      </c>
      <c r="S48" s="295">
        <f>InpActive!S126</f>
        <v>0</v>
      </c>
      <c r="T48" s="295">
        <f>InpActive!T126</f>
        <v>0</v>
      </c>
      <c r="U48" s="295">
        <f>InpActive!U126</f>
        <v>0</v>
      </c>
      <c r="V48" s="295">
        <f>InpActive!V126</f>
        <v>0</v>
      </c>
      <c r="W48" s="295">
        <f>InpActive!W126</f>
        <v>0</v>
      </c>
      <c r="X48" s="295">
        <f>InpActive!X126</f>
        <v>0</v>
      </c>
    </row>
    <row r="49" spans="1:24" s="154" customFormat="1" x14ac:dyDescent="0.2">
      <c r="A49" s="155"/>
      <c r="B49" s="318"/>
      <c r="C49" s="157"/>
      <c r="E49" s="154" t="s">
        <v>605</v>
      </c>
      <c r="F49" s="154">
        <v>0</v>
      </c>
      <c r="G49" s="154" t="s">
        <v>727</v>
      </c>
      <c r="H49" s="154">
        <v>0</v>
      </c>
      <c r="I49" s="154">
        <v>0</v>
      </c>
      <c r="J49" s="154">
        <f>J48/$F$47</f>
        <v>0</v>
      </c>
      <c r="K49" s="154">
        <f t="shared" ref="K49:X49" si="31">K48/$F$47</f>
        <v>0</v>
      </c>
      <c r="L49" s="154">
        <f t="shared" si="31"/>
        <v>0</v>
      </c>
      <c r="M49" s="154">
        <f t="shared" si="31"/>
        <v>0</v>
      </c>
      <c r="N49" s="154">
        <f t="shared" si="31"/>
        <v>0</v>
      </c>
      <c r="O49" s="154">
        <f t="shared" si="31"/>
        <v>0</v>
      </c>
      <c r="P49" s="154">
        <f t="shared" si="31"/>
        <v>0</v>
      </c>
      <c r="Q49" s="154">
        <f t="shared" si="31"/>
        <v>0</v>
      </c>
      <c r="R49" s="154">
        <f t="shared" si="31"/>
        <v>0</v>
      </c>
      <c r="S49" s="154">
        <f t="shared" si="31"/>
        <v>0</v>
      </c>
      <c r="T49" s="154">
        <f t="shared" si="31"/>
        <v>0</v>
      </c>
      <c r="U49" s="154">
        <f t="shared" si="31"/>
        <v>0</v>
      </c>
      <c r="V49" s="154">
        <f t="shared" si="31"/>
        <v>0</v>
      </c>
      <c r="W49" s="154">
        <f t="shared" si="31"/>
        <v>0</v>
      </c>
      <c r="X49" s="154">
        <f t="shared" si="31"/>
        <v>0</v>
      </c>
    </row>
    <row r="50" spans="1:24" s="154" customFormat="1" x14ac:dyDescent="0.2">
      <c r="A50" s="155"/>
      <c r="B50" s="318"/>
      <c r="C50" s="157"/>
    </row>
    <row r="51" spans="1:24" s="160" customFormat="1" x14ac:dyDescent="0.2">
      <c r="A51" s="158"/>
      <c r="B51" s="159"/>
      <c r="E51" s="291" t="str">
        <f>E49</f>
        <v>Unadjusted revenue (URt in last determination) - bioresources (sludge)</v>
      </c>
      <c r="F51" s="291">
        <f t="shared" ref="F51:X51" si="32">F49</f>
        <v>0</v>
      </c>
      <c r="G51" s="291" t="str">
        <f t="shared" si="32"/>
        <v>£m (2017-18 FYA CPIH prices)</v>
      </c>
      <c r="H51" s="291">
        <f t="shared" si="32"/>
        <v>0</v>
      </c>
      <c r="I51" s="291">
        <f t="shared" si="32"/>
        <v>0</v>
      </c>
      <c r="J51" s="291">
        <f t="shared" si="32"/>
        <v>0</v>
      </c>
      <c r="K51" s="291">
        <f t="shared" si="32"/>
        <v>0</v>
      </c>
      <c r="L51" s="291">
        <f t="shared" si="32"/>
        <v>0</v>
      </c>
      <c r="M51" s="291">
        <f t="shared" si="32"/>
        <v>0</v>
      </c>
      <c r="N51" s="291">
        <f t="shared" si="32"/>
        <v>0</v>
      </c>
      <c r="O51" s="291">
        <f t="shared" si="32"/>
        <v>0</v>
      </c>
      <c r="P51" s="291">
        <f t="shared" si="32"/>
        <v>0</v>
      </c>
      <c r="Q51" s="291">
        <f t="shared" si="32"/>
        <v>0</v>
      </c>
      <c r="R51" s="291">
        <f t="shared" si="32"/>
        <v>0</v>
      </c>
      <c r="S51" s="291">
        <f t="shared" si="32"/>
        <v>0</v>
      </c>
      <c r="T51" s="291">
        <f t="shared" si="32"/>
        <v>0</v>
      </c>
      <c r="U51" s="291">
        <f t="shared" si="32"/>
        <v>0</v>
      </c>
      <c r="V51" s="291">
        <f t="shared" si="32"/>
        <v>0</v>
      </c>
      <c r="W51" s="291">
        <f t="shared" si="32"/>
        <v>0</v>
      </c>
      <c r="X51" s="291">
        <f t="shared" si="32"/>
        <v>0</v>
      </c>
    </row>
    <row r="52" spans="1:24" s="291" customFormat="1" x14ac:dyDescent="0.2">
      <c r="A52" s="347"/>
      <c r="B52" s="318"/>
      <c r="E52" s="291" t="str">
        <f xml:space="preserve"> E$44</f>
        <v>ODI value in £m (2017-18 FYA CPIH prices)</v>
      </c>
      <c r="F52" s="291">
        <f t="shared" ref="F52:X52" si="33" xml:space="preserve"> F$44</f>
        <v>0</v>
      </c>
      <c r="G52" s="291" t="str">
        <f t="shared" si="33"/>
        <v>£m (2017-18 FYA CPIH prices)</v>
      </c>
      <c r="H52" s="291">
        <f t="shared" si="33"/>
        <v>0</v>
      </c>
      <c r="I52" s="291">
        <f t="shared" si="33"/>
        <v>0</v>
      </c>
      <c r="J52" s="291">
        <f t="shared" si="33"/>
        <v>0</v>
      </c>
      <c r="K52" s="291">
        <f t="shared" si="33"/>
        <v>0</v>
      </c>
      <c r="L52" s="291">
        <f t="shared" si="33"/>
        <v>0</v>
      </c>
      <c r="M52" s="291">
        <f t="shared" si="33"/>
        <v>0</v>
      </c>
      <c r="N52" s="291">
        <f t="shared" si="33"/>
        <v>0</v>
      </c>
      <c r="O52" s="291">
        <f t="shared" si="33"/>
        <v>0</v>
      </c>
      <c r="P52" s="291">
        <f t="shared" si="33"/>
        <v>0</v>
      </c>
      <c r="Q52" s="291">
        <f t="shared" si="33"/>
        <v>0</v>
      </c>
      <c r="R52" s="291">
        <f t="shared" si="33"/>
        <v>0</v>
      </c>
      <c r="S52" s="291">
        <f t="shared" si="33"/>
        <v>0</v>
      </c>
      <c r="T52" s="291">
        <f t="shared" si="33"/>
        <v>0</v>
      </c>
      <c r="U52" s="291">
        <f t="shared" si="33"/>
        <v>0</v>
      </c>
      <c r="V52" s="291">
        <f t="shared" si="33"/>
        <v>0</v>
      </c>
      <c r="W52" s="291">
        <f t="shared" si="33"/>
        <v>0</v>
      </c>
      <c r="X52" s="291">
        <f t="shared" si="33"/>
        <v>0</v>
      </c>
    </row>
    <row r="53" spans="1:24" s="291" customFormat="1" x14ac:dyDescent="0.2">
      <c r="A53" s="347"/>
      <c r="B53" s="318"/>
      <c r="E53" s="291" t="s">
        <v>765</v>
      </c>
      <c r="F53" s="154"/>
      <c r="G53" s="291" t="str">
        <f>InpActive!$F$15</f>
        <v>£m (2017-18 FYA CPIH prices)</v>
      </c>
      <c r="H53" s="154"/>
      <c r="I53" s="154"/>
      <c r="J53" s="291">
        <f t="shared" ref="J53:M53" si="34">J51+J52</f>
        <v>0</v>
      </c>
      <c r="K53" s="291">
        <f t="shared" si="34"/>
        <v>0</v>
      </c>
      <c r="L53" s="291">
        <f t="shared" si="34"/>
        <v>0</v>
      </c>
      <c r="M53" s="291">
        <f t="shared" si="34"/>
        <v>0</v>
      </c>
      <c r="N53" s="291">
        <f>N51+N52</f>
        <v>0</v>
      </c>
      <c r="O53" s="291">
        <f t="shared" ref="O53:X53" si="35">O51+O52</f>
        <v>0</v>
      </c>
      <c r="P53" s="291">
        <f t="shared" si="35"/>
        <v>0</v>
      </c>
      <c r="Q53" s="291">
        <f t="shared" si="35"/>
        <v>0</v>
      </c>
      <c r="R53" s="291">
        <f t="shared" si="35"/>
        <v>0</v>
      </c>
      <c r="S53" s="291">
        <f t="shared" si="35"/>
        <v>0</v>
      </c>
      <c r="T53" s="291">
        <f t="shared" si="35"/>
        <v>0</v>
      </c>
      <c r="U53" s="291">
        <f t="shared" si="35"/>
        <v>0</v>
      </c>
      <c r="V53" s="291">
        <f t="shared" si="35"/>
        <v>0</v>
      </c>
      <c r="W53" s="291">
        <f t="shared" si="35"/>
        <v>0</v>
      </c>
      <c r="X53" s="291">
        <f t="shared" si="35"/>
        <v>0</v>
      </c>
    </row>
    <row r="54" spans="1:24" s="291" customFormat="1" x14ac:dyDescent="0.2">
      <c r="A54" s="347"/>
      <c r="B54" s="318"/>
      <c r="F54" s="154"/>
      <c r="H54" s="154"/>
      <c r="I54" s="154"/>
    </row>
    <row r="55" spans="1:24" s="291" customFormat="1" x14ac:dyDescent="0.2">
      <c r="A55" s="347"/>
      <c r="B55" s="318"/>
      <c r="E55" s="160" t="str">
        <f>Index!E$20</f>
        <v>Adjustment factor for 2017-18 to 2022-23 FYA CPIH</v>
      </c>
      <c r="F55" s="160">
        <f>Index!F$20</f>
        <v>1.1806332960179113</v>
      </c>
      <c r="G55" s="160" t="str">
        <f>Index!G$20</f>
        <v>Factor</v>
      </c>
    </row>
    <row r="56" spans="1:24" s="291" customFormat="1" x14ac:dyDescent="0.2">
      <c r="A56" s="347"/>
      <c r="B56" s="318"/>
      <c r="E56" s="291" t="str">
        <f t="shared" ref="E56:X56" si="36">E53</f>
        <v>Revised unadjusted revenue (URt) 2017-18 prices</v>
      </c>
      <c r="F56" s="291">
        <f t="shared" si="36"/>
        <v>0</v>
      </c>
      <c r="G56" s="291" t="str">
        <f t="shared" si="36"/>
        <v>£m (2017-18 FYA CPIH prices)</v>
      </c>
      <c r="H56" s="291">
        <f t="shared" si="36"/>
        <v>0</v>
      </c>
      <c r="I56" s="291">
        <f t="shared" si="36"/>
        <v>0</v>
      </c>
      <c r="J56" s="291">
        <f t="shared" si="36"/>
        <v>0</v>
      </c>
      <c r="K56" s="291">
        <f t="shared" si="36"/>
        <v>0</v>
      </c>
      <c r="L56" s="291">
        <f t="shared" si="36"/>
        <v>0</v>
      </c>
      <c r="M56" s="291">
        <f t="shared" si="36"/>
        <v>0</v>
      </c>
      <c r="N56" s="291">
        <f t="shared" si="36"/>
        <v>0</v>
      </c>
      <c r="O56" s="291">
        <f t="shared" si="36"/>
        <v>0</v>
      </c>
      <c r="P56" s="291">
        <f t="shared" si="36"/>
        <v>0</v>
      </c>
      <c r="Q56" s="291">
        <f t="shared" si="36"/>
        <v>0</v>
      </c>
      <c r="R56" s="291">
        <f t="shared" si="36"/>
        <v>0</v>
      </c>
      <c r="S56" s="291">
        <f t="shared" si="36"/>
        <v>0</v>
      </c>
      <c r="T56" s="291">
        <f t="shared" si="36"/>
        <v>0</v>
      </c>
      <c r="U56" s="291">
        <f t="shared" si="36"/>
        <v>0</v>
      </c>
      <c r="V56" s="291">
        <f t="shared" si="36"/>
        <v>0</v>
      </c>
      <c r="W56" s="291">
        <f t="shared" si="36"/>
        <v>0</v>
      </c>
      <c r="X56" s="291">
        <f t="shared" si="36"/>
        <v>0</v>
      </c>
    </row>
    <row r="57" spans="1:24" s="178" customFormat="1" x14ac:dyDescent="0.2">
      <c r="A57" s="176"/>
      <c r="B57" s="177"/>
      <c r="E57" s="319" t="s">
        <v>766</v>
      </c>
      <c r="G57" s="319" t="s">
        <v>606</v>
      </c>
      <c r="J57" s="319">
        <f>J56*$F$55</f>
        <v>0</v>
      </c>
      <c r="K57" s="319">
        <f t="shared" ref="K57:X57" si="37">K56*$F$55</f>
        <v>0</v>
      </c>
      <c r="L57" s="319">
        <f t="shared" si="37"/>
        <v>0</v>
      </c>
      <c r="M57" s="319">
        <f t="shared" si="37"/>
        <v>0</v>
      </c>
      <c r="N57" s="319">
        <f t="shared" si="37"/>
        <v>0</v>
      </c>
      <c r="O57" s="319">
        <f t="shared" si="37"/>
        <v>0</v>
      </c>
      <c r="P57" s="319">
        <f t="shared" si="37"/>
        <v>0</v>
      </c>
      <c r="Q57" s="319">
        <f t="shared" si="37"/>
        <v>0</v>
      </c>
      <c r="R57" s="319">
        <f t="shared" si="37"/>
        <v>0</v>
      </c>
      <c r="S57" s="319">
        <f t="shared" si="37"/>
        <v>0</v>
      </c>
      <c r="T57" s="319">
        <f t="shared" si="37"/>
        <v>0</v>
      </c>
      <c r="U57" s="319">
        <f t="shared" si="37"/>
        <v>0</v>
      </c>
      <c r="V57" s="319">
        <f t="shared" si="37"/>
        <v>0</v>
      </c>
      <c r="W57" s="319">
        <f t="shared" si="37"/>
        <v>0</v>
      </c>
      <c r="X57" s="319">
        <f t="shared" si="37"/>
        <v>0</v>
      </c>
    </row>
    <row r="58" spans="1:24" x14ac:dyDescent="0.2">
      <c r="B58" s="97"/>
      <c r="E58" s="91"/>
      <c r="H58" s="88"/>
      <c r="I58" s="88"/>
    </row>
    <row r="59" spans="1:24" s="208" customFormat="1" ht="13.5" x14ac:dyDescent="0.25">
      <c r="A59" s="208" t="s">
        <v>134</v>
      </c>
    </row>
    <row r="60" spans="1:24" x14ac:dyDescent="0.2"/>
    <row r="61" spans="1:24" x14ac:dyDescent="0.2"/>
  </sheetData>
  <conditionalFormatting sqref="J3:X3">
    <cfRule type="cellIs" dxfId="36" priority="1" operator="equal">
      <formula>"Post-Fcst"</formula>
    </cfRule>
    <cfRule type="cellIs" dxfId="35" priority="2" operator="equal">
      <formula>"Post-Fcst Mod"</formula>
    </cfRule>
    <cfRule type="cellIs" dxfId="34" priority="3" operator="equal">
      <formula>"Forecast"</formula>
    </cfRule>
    <cfRule type="cellIs" dxfId="33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609BB-8555-42D6-916F-DCFA20F69832}">
  <sheetPr>
    <tabColor theme="5"/>
    <outlinePr summaryBelow="0" summaryRight="0"/>
    <pageSetUpPr fitToPage="1"/>
  </sheetPr>
  <dimension ref="A1:X51"/>
  <sheetViews>
    <sheetView showGridLines="0" zoomScale="80" zoomScaleNormal="80" workbookViewId="0">
      <pane xSplit="9" ySplit="5" topLeftCell="J6" activePane="bottomRight" state="frozen"/>
      <selection pane="topRight" activeCell="B4" sqref="B4"/>
      <selection pane="bottomLeft" activeCell="B4" sqref="B4"/>
      <selection pane="bottomRight"/>
    </sheetView>
  </sheetViews>
  <sheetFormatPr defaultColWidth="9.625" defaultRowHeight="12.75" zeroHeight="1" x14ac:dyDescent="0.2"/>
  <cols>
    <col min="1" max="1" width="1.625" style="96" customWidth="1"/>
    <col min="2" max="2" width="1.625" style="139" customWidth="1"/>
    <col min="3" max="3" width="1.625" style="98" customWidth="1"/>
    <col min="4" max="4" width="1.625" style="88" customWidth="1"/>
    <col min="5" max="5" width="54.625" style="88" customWidth="1"/>
    <col min="6" max="6" width="15.625" style="88" customWidth="1"/>
    <col min="7" max="7" width="30.625" style="88" customWidth="1"/>
    <col min="8" max="8" width="15.625" style="30" customWidth="1"/>
    <col min="9" max="9" width="2.625" style="30" customWidth="1"/>
    <col min="10" max="22" width="9.625" style="30" customWidth="1"/>
    <col min="23" max="16384" width="9.625" style="30"/>
  </cols>
  <sheetData>
    <row r="1" spans="1:24" s="103" customFormat="1" ht="44.25" x14ac:dyDescent="0.2">
      <c r="A1" s="132" t="str">
        <f ca="1" xml:space="preserve"> RIGHT(CELL("filename", $A$1), LEN(CELL("filename", $A$1)) - SEARCH("]", CELL("filename", $A$1)))</f>
        <v>Residential retail</v>
      </c>
      <c r="B1" s="133"/>
      <c r="C1" s="134"/>
      <c r="D1" s="130"/>
      <c r="E1" s="130"/>
      <c r="F1" s="130"/>
      <c r="G1" s="130"/>
      <c r="H1" s="393" t="str">
        <f>InpActive!F9</f>
        <v>Anglian Water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4" customFormat="1" x14ac:dyDescent="0.2">
      <c r="A2" s="135"/>
      <c r="B2" s="136"/>
      <c r="C2" s="137"/>
      <c r="D2" s="138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19" customFormat="1" x14ac:dyDescent="0.2">
      <c r="A3" s="131"/>
      <c r="B3" s="136"/>
      <c r="C3" s="137"/>
      <c r="D3" s="138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8" customFormat="1" x14ac:dyDescent="0.2">
      <c r="A4" s="131"/>
      <c r="B4" s="136"/>
      <c r="C4" s="137"/>
      <c r="D4" s="138"/>
      <c r="E4" s="120" t="str">
        <f>Time!E$106</f>
        <v>Financial Year Ending</v>
      </c>
      <c r="F4" s="120"/>
      <c r="G4" s="120"/>
      <c r="H4" s="116"/>
      <c r="I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29" customFormat="1" x14ac:dyDescent="0.2">
      <c r="A5" s="131"/>
      <c r="B5" s="136"/>
      <c r="C5" s="137"/>
      <c r="D5" s="138"/>
      <c r="E5" s="120" t="str">
        <f>Time!E$10</f>
        <v>Model column counter</v>
      </c>
      <c r="F5" s="131" t="s">
        <v>532</v>
      </c>
      <c r="G5" s="131" t="s">
        <v>186</v>
      </c>
      <c r="H5" s="19" t="s">
        <v>533</v>
      </c>
      <c r="I5" s="24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29" customFormat="1" x14ac:dyDescent="0.2">
      <c r="A6" s="131"/>
      <c r="B6" s="136"/>
      <c r="C6" s="137"/>
      <c r="D6" s="138"/>
      <c r="E6" s="120"/>
      <c r="F6" s="131"/>
      <c r="G6" s="131"/>
      <c r="H6" s="19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209" customFormat="1" ht="13.5" x14ac:dyDescent="0.25">
      <c r="A7" s="209" t="s">
        <v>539</v>
      </c>
    </row>
    <row r="8" spans="1:24" x14ac:dyDescent="0.2">
      <c r="A8" s="155"/>
      <c r="B8" s="156"/>
      <c r="C8" s="157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</row>
    <row r="9" spans="1:24" s="154" customFormat="1" x14ac:dyDescent="0.2">
      <c r="A9" s="155"/>
      <c r="B9" s="156" t="s">
        <v>741</v>
      </c>
      <c r="C9" s="157"/>
    </row>
    <row r="10" spans="1:24" s="295" customFormat="1" x14ac:dyDescent="0.2">
      <c r="A10" s="345"/>
      <c r="B10" s="346"/>
      <c r="E10" s="295" t="str">
        <f xml:space="preserve"> 'Abatements and deferrals'!E$149</f>
        <v>Payments after abatements and deferrals and other bespoke adjustments - residential retail</v>
      </c>
      <c r="F10" s="295">
        <f xml:space="preserve"> 'Abatements and deferrals'!F$149</f>
        <v>3.0909999999999997</v>
      </c>
      <c r="G10" s="295" t="str">
        <f xml:space="preserve"> 'Abatements and deferrals'!G$149</f>
        <v>£m (2017-18 FYA CPIH prices)</v>
      </c>
      <c r="H10" s="295">
        <f xml:space="preserve"> 'Abatements and deferrals'!H$149</f>
        <v>0</v>
      </c>
      <c r="I10" s="295">
        <f xml:space="preserve"> 'Abatements and deferrals'!I$149</f>
        <v>0</v>
      </c>
    </row>
    <row r="11" spans="1:24" s="154" customFormat="1" x14ac:dyDescent="0.2">
      <c r="A11" s="155"/>
      <c r="B11" s="156"/>
      <c r="C11" s="157"/>
      <c r="E11" s="291"/>
      <c r="G11" s="291"/>
      <c r="H11" s="291"/>
    </row>
    <row r="12" spans="1:24" s="154" customFormat="1" x14ac:dyDescent="0.2">
      <c r="A12" s="155"/>
      <c r="B12" s="156" t="s">
        <v>742</v>
      </c>
      <c r="C12" s="157"/>
    </row>
    <row r="13" spans="1:24" s="154" customFormat="1" x14ac:dyDescent="0.2">
      <c r="A13" s="155"/>
      <c r="B13" s="156"/>
      <c r="C13" s="157"/>
    </row>
    <row r="14" spans="1:24" s="160" customFormat="1" x14ac:dyDescent="0.2">
      <c r="A14" s="158"/>
      <c r="B14" s="159"/>
      <c r="E14" s="295" t="str">
        <f xml:space="preserve"> InpActive!E$12</f>
        <v>Reporting year</v>
      </c>
      <c r="F14" s="295" t="str">
        <f xml:space="preserve"> InpActive!F$12</f>
        <v>2024-25</v>
      </c>
      <c r="G14" s="295" t="str">
        <f xml:space="preserve"> InpActive!G$12</f>
        <v>Financial year</v>
      </c>
    </row>
    <row r="15" spans="1:24" s="154" customFormat="1" x14ac:dyDescent="0.2">
      <c r="A15" s="155"/>
      <c r="B15" s="156"/>
      <c r="C15" s="157"/>
      <c r="E15" s="154" t="s">
        <v>743</v>
      </c>
      <c r="F15" s="215">
        <f>_xlfn.NUMBERVALUE(CONCATENATE(20,RIGHT(F14,2)))</f>
        <v>2025</v>
      </c>
    </row>
    <row r="16" spans="1:24" s="160" customFormat="1" x14ac:dyDescent="0.2">
      <c r="A16" s="158"/>
      <c r="B16" s="159"/>
      <c r="E16" s="171" t="str">
        <f xml:space="preserve"> Time!E$106</f>
        <v>Financial Year Ending</v>
      </c>
      <c r="F16" s="169">
        <f xml:space="preserve"> Time!F$106</f>
        <v>0</v>
      </c>
      <c r="G16" s="169" t="str">
        <f xml:space="preserve"> Time!G$106</f>
        <v>year #</v>
      </c>
      <c r="H16" s="169">
        <f xml:space="preserve"> Time!H$106</f>
        <v>0</v>
      </c>
      <c r="I16" s="169">
        <f xml:space="preserve"> Time!I$106</f>
        <v>0</v>
      </c>
      <c r="J16" s="214">
        <f xml:space="preserve"> Time!J$106</f>
        <v>2016</v>
      </c>
      <c r="K16" s="214">
        <f xml:space="preserve"> Time!K$106</f>
        <v>2017</v>
      </c>
      <c r="L16" s="214">
        <f xml:space="preserve"> Time!L$106</f>
        <v>2018</v>
      </c>
      <c r="M16" s="214">
        <f xml:space="preserve"> Time!M$106</f>
        <v>2019</v>
      </c>
      <c r="N16" s="214">
        <f xml:space="preserve"> Time!N$106</f>
        <v>2020</v>
      </c>
      <c r="O16" s="214">
        <f xml:space="preserve"> Time!O$106</f>
        <v>2021</v>
      </c>
      <c r="P16" s="214">
        <f xml:space="preserve"> Time!P$106</f>
        <v>2022</v>
      </c>
      <c r="Q16" s="214">
        <f xml:space="preserve"> Time!Q$106</f>
        <v>2023</v>
      </c>
      <c r="R16" s="214">
        <f xml:space="preserve"> Time!R$106</f>
        <v>2024</v>
      </c>
      <c r="S16" s="214">
        <f xml:space="preserve"> Time!S$106</f>
        <v>2025</v>
      </c>
      <c r="T16" s="214">
        <f xml:space="preserve"> Time!T$106</f>
        <v>2026</v>
      </c>
      <c r="U16" s="214">
        <f xml:space="preserve"> Time!U$106</f>
        <v>2027</v>
      </c>
      <c r="V16" s="214">
        <f xml:space="preserve"> Time!V$106</f>
        <v>2028</v>
      </c>
      <c r="W16" s="214">
        <f xml:space="preserve"> Time!W$106</f>
        <v>2029</v>
      </c>
      <c r="X16" s="214">
        <f xml:space="preserve"> Time!X$106</f>
        <v>2030</v>
      </c>
    </row>
    <row r="17" spans="1:24" s="154" customFormat="1" x14ac:dyDescent="0.2">
      <c r="A17" s="155"/>
      <c r="B17" s="156"/>
      <c r="C17" s="157"/>
      <c r="E17" s="154" t="s">
        <v>744</v>
      </c>
      <c r="G17" s="154" t="s">
        <v>644</v>
      </c>
      <c r="J17" s="170">
        <f xml:space="preserve"> IF( J16 = $F15, 1, 0 )</f>
        <v>0</v>
      </c>
      <c r="K17" s="170">
        <f t="shared" ref="K17:T17" si="0" xml:space="preserve"> IF( K16 = $F15, 1, 0 )</f>
        <v>0</v>
      </c>
      <c r="L17" s="170">
        <f t="shared" si="0"/>
        <v>0</v>
      </c>
      <c r="M17" s="170">
        <f t="shared" si="0"/>
        <v>0</v>
      </c>
      <c r="N17" s="170">
        <f t="shared" si="0"/>
        <v>0</v>
      </c>
      <c r="O17" s="170">
        <f t="shared" si="0"/>
        <v>0</v>
      </c>
      <c r="P17" s="170">
        <f t="shared" si="0"/>
        <v>0</v>
      </c>
      <c r="Q17" s="170">
        <f t="shared" si="0"/>
        <v>0</v>
      </c>
      <c r="R17" s="170">
        <f t="shared" si="0"/>
        <v>0</v>
      </c>
      <c r="S17" s="170">
        <f t="shared" si="0"/>
        <v>1</v>
      </c>
      <c r="T17" s="170">
        <f t="shared" si="0"/>
        <v>0</v>
      </c>
      <c r="U17" s="170">
        <f t="shared" ref="U17:V17" si="1" xml:space="preserve"> IF( U16 = $F15, 1, 0 )</f>
        <v>0</v>
      </c>
      <c r="V17" s="170">
        <f t="shared" si="1"/>
        <v>0</v>
      </c>
      <c r="W17" s="170">
        <f t="shared" ref="W17:X17" si="2" xml:space="preserve"> IF( W16 = $F15, 1, 0 )</f>
        <v>0</v>
      </c>
      <c r="X17" s="170">
        <f t="shared" si="2"/>
        <v>0</v>
      </c>
    </row>
    <row r="18" spans="1:24" s="154" customFormat="1" x14ac:dyDescent="0.2">
      <c r="A18" s="155"/>
      <c r="B18" s="156"/>
      <c r="C18" s="157"/>
      <c r="E18" s="154" t="s">
        <v>745</v>
      </c>
      <c r="G18" s="154" t="s">
        <v>644</v>
      </c>
      <c r="J18" s="170">
        <f xml:space="preserve"> IF( H17 = 1, 1, 0 )</f>
        <v>0</v>
      </c>
      <c r="K18" s="170">
        <f t="shared" ref="K18:U18" si="3" xml:space="preserve"> IF( I17 = 1, 1, 0 )</f>
        <v>0</v>
      </c>
      <c r="L18" s="170">
        <f t="shared" si="3"/>
        <v>0</v>
      </c>
      <c r="M18" s="170">
        <f t="shared" si="3"/>
        <v>0</v>
      </c>
      <c r="N18" s="170">
        <f t="shared" si="3"/>
        <v>0</v>
      </c>
      <c r="O18" s="170">
        <f t="shared" si="3"/>
        <v>0</v>
      </c>
      <c r="P18" s="170">
        <f t="shared" si="3"/>
        <v>0</v>
      </c>
      <c r="Q18" s="170">
        <f t="shared" si="3"/>
        <v>0</v>
      </c>
      <c r="R18" s="170">
        <f t="shared" si="3"/>
        <v>0</v>
      </c>
      <c r="S18" s="170">
        <f t="shared" si="3"/>
        <v>0</v>
      </c>
      <c r="T18" s="170">
        <f t="shared" si="3"/>
        <v>0</v>
      </c>
      <c r="U18" s="170">
        <f t="shared" si="3"/>
        <v>1</v>
      </c>
      <c r="V18" s="170">
        <f xml:space="preserve"> IF( T17 = 1, 1, 0 )</f>
        <v>0</v>
      </c>
      <c r="W18" s="170">
        <f xml:space="preserve"> IF( U17 = 1, 1, 0 )</f>
        <v>0</v>
      </c>
      <c r="X18" s="170">
        <f xml:space="preserve"> IF( V17 = 1, 1, 0 )</f>
        <v>0</v>
      </c>
    </row>
    <row r="19" spans="1:24" s="154" customFormat="1" x14ac:dyDescent="0.2">
      <c r="A19" s="155"/>
      <c r="B19" s="156"/>
      <c r="C19" s="157"/>
    </row>
    <row r="20" spans="1:24" s="154" customFormat="1" x14ac:dyDescent="0.2">
      <c r="A20" s="155"/>
      <c r="B20" s="156"/>
      <c r="C20" s="157"/>
      <c r="E20" s="291" t="str">
        <f xml:space="preserve"> E10</f>
        <v>Payments after abatements and deferrals and other bespoke adjustments - residential retail</v>
      </c>
      <c r="G20" s="291" t="str">
        <f xml:space="preserve"> G10</f>
        <v>£m (2017-18 FYA CPIH prices)</v>
      </c>
      <c r="J20" s="291">
        <f t="shared" ref="J20:T20" si="4" xml:space="preserve"> IF( J18 = 1, $F10, 0 )</f>
        <v>0</v>
      </c>
      <c r="K20" s="291">
        <f t="shared" si="4"/>
        <v>0</v>
      </c>
      <c r="L20" s="291">
        <f t="shared" si="4"/>
        <v>0</v>
      </c>
      <c r="M20" s="291">
        <f t="shared" si="4"/>
        <v>0</v>
      </c>
      <c r="N20" s="291">
        <f t="shared" si="4"/>
        <v>0</v>
      </c>
      <c r="O20" s="291">
        <f t="shared" si="4"/>
        <v>0</v>
      </c>
      <c r="P20" s="291">
        <f t="shared" si="4"/>
        <v>0</v>
      </c>
      <c r="Q20" s="291">
        <f t="shared" si="4"/>
        <v>0</v>
      </c>
      <c r="R20" s="291">
        <f t="shared" si="4"/>
        <v>0</v>
      </c>
      <c r="S20" s="291">
        <f t="shared" si="4"/>
        <v>0</v>
      </c>
      <c r="T20" s="291">
        <f t="shared" si="4"/>
        <v>0</v>
      </c>
      <c r="U20" s="291">
        <f t="shared" ref="U20:V20" si="5" xml:space="preserve"> IF( U18 = 1, $F10, 0 )</f>
        <v>3.0909999999999997</v>
      </c>
      <c r="V20" s="291">
        <f t="shared" si="5"/>
        <v>0</v>
      </c>
      <c r="W20" s="291">
        <f t="shared" ref="W20:X20" si="6" xml:space="preserve"> IF( W18 = 1, $F10, 0 )</f>
        <v>0</v>
      </c>
      <c r="X20" s="291">
        <f t="shared" si="6"/>
        <v>0</v>
      </c>
    </row>
    <row r="21" spans="1:24" x14ac:dyDescent="0.2">
      <c r="A21" s="155"/>
      <c r="B21" s="156"/>
      <c r="C21" s="157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</row>
    <row r="22" spans="1:24" s="209" customFormat="1" ht="13.5" x14ac:dyDescent="0.25">
      <c r="A22" s="209" t="s">
        <v>746</v>
      </c>
    </row>
    <row r="23" spans="1:24" x14ac:dyDescent="0.2">
      <c r="B23" s="97"/>
      <c r="E23" s="91"/>
    </row>
    <row r="24" spans="1:24" x14ac:dyDescent="0.2">
      <c r="B24" s="97" t="s">
        <v>749</v>
      </c>
      <c r="E24" s="91"/>
    </row>
    <row r="25" spans="1:24" s="88" customFormat="1" x14ac:dyDescent="0.2">
      <c r="A25" s="96"/>
      <c r="B25" s="97"/>
      <c r="C25" s="98"/>
      <c r="E25" s="201" t="str">
        <f t="shared" ref="E25:X25" si="7" xml:space="preserve"> E$20</f>
        <v>Payments after abatements and deferrals and other bespoke adjustments - residential retail</v>
      </c>
      <c r="F25" s="201">
        <f t="shared" si="7"/>
        <v>0</v>
      </c>
      <c r="G25" s="201" t="str">
        <f t="shared" si="7"/>
        <v>£m (2017-18 FYA CPIH prices)</v>
      </c>
      <c r="H25" s="201">
        <f t="shared" si="7"/>
        <v>0</v>
      </c>
      <c r="I25" s="201">
        <f t="shared" si="7"/>
        <v>0</v>
      </c>
      <c r="J25" s="201">
        <f t="shared" si="7"/>
        <v>0</v>
      </c>
      <c r="K25" s="201">
        <f t="shared" si="7"/>
        <v>0</v>
      </c>
      <c r="L25" s="201">
        <f t="shared" si="7"/>
        <v>0</v>
      </c>
      <c r="M25" s="201">
        <f t="shared" si="7"/>
        <v>0</v>
      </c>
      <c r="N25" s="201">
        <f t="shared" si="7"/>
        <v>0</v>
      </c>
      <c r="O25" s="201">
        <f t="shared" si="7"/>
        <v>0</v>
      </c>
      <c r="P25" s="201">
        <f t="shared" si="7"/>
        <v>0</v>
      </c>
      <c r="Q25" s="201">
        <f t="shared" si="7"/>
        <v>0</v>
      </c>
      <c r="R25" s="201">
        <f t="shared" si="7"/>
        <v>0</v>
      </c>
      <c r="S25" s="201">
        <f t="shared" si="7"/>
        <v>0</v>
      </c>
      <c r="T25" s="201">
        <f t="shared" si="7"/>
        <v>0</v>
      </c>
      <c r="U25" s="201">
        <f t="shared" si="7"/>
        <v>3.0909999999999997</v>
      </c>
      <c r="V25" s="201">
        <f t="shared" si="7"/>
        <v>0</v>
      </c>
      <c r="W25" s="201">
        <f t="shared" si="7"/>
        <v>0</v>
      </c>
      <c r="X25" s="201">
        <f t="shared" si="7"/>
        <v>0</v>
      </c>
    </row>
    <row r="26" spans="1:24" s="86" customFormat="1" x14ac:dyDescent="0.2">
      <c r="A26" s="92"/>
      <c r="B26" s="93"/>
      <c r="C26" s="94"/>
      <c r="D26" s="75"/>
      <c r="E26" s="317" t="str">
        <f xml:space="preserve"> Index!E$16</f>
        <v>November CPIH cumulative inflation factor</v>
      </c>
      <c r="F26" s="317">
        <f xml:space="preserve"> Index!F$16</f>
        <v>0</v>
      </c>
      <c r="G26" s="317" t="str">
        <f xml:space="preserve"> Index!G$16</f>
        <v>Percentage</v>
      </c>
      <c r="H26" s="317">
        <f xml:space="preserve"> Index!H$16</f>
        <v>0</v>
      </c>
      <c r="I26" s="317">
        <f xml:space="preserve"> Index!I$16</f>
        <v>0</v>
      </c>
      <c r="J26" s="298">
        <f xml:space="preserve"> Index!J$16</f>
        <v>0</v>
      </c>
      <c r="K26" s="298">
        <f xml:space="preserve"> Index!K$16</f>
        <v>0</v>
      </c>
      <c r="L26" s="298">
        <f xml:space="preserve"> Index!L$16</f>
        <v>1</v>
      </c>
      <c r="M26" s="298">
        <f xml:space="preserve"> Index!M$16</f>
        <v>1</v>
      </c>
      <c r="N26" s="298">
        <f xml:space="preserve"> Index!N$16</f>
        <v>1</v>
      </c>
      <c r="O26" s="298">
        <f xml:space="preserve"> Index!O$16</f>
        <v>1</v>
      </c>
      <c r="P26" s="298">
        <f xml:space="preserve"> Index!P$16</f>
        <v>1</v>
      </c>
      <c r="Q26" s="298">
        <f xml:space="preserve"> Index!Q$16</f>
        <v>1</v>
      </c>
      <c r="R26" s="298">
        <f xml:space="preserve"> Index!R$16</f>
        <v>1</v>
      </c>
      <c r="S26" s="298">
        <f xml:space="preserve"> Index!S$16</f>
        <v>1</v>
      </c>
      <c r="T26" s="298">
        <f xml:space="preserve"> Index!T$16</f>
        <v>1</v>
      </c>
      <c r="U26" s="298">
        <f xml:space="preserve"> Index!U$16</f>
        <v>1</v>
      </c>
      <c r="V26" s="298">
        <f xml:space="preserve"> Index!V$16</f>
        <v>1</v>
      </c>
      <c r="W26" s="298">
        <f xml:space="preserve"> Index!W$16</f>
        <v>1</v>
      </c>
      <c r="X26" s="298">
        <f xml:space="preserve"> Index!X$16</f>
        <v>1</v>
      </c>
    </row>
    <row r="27" spans="1:24" s="154" customFormat="1" x14ac:dyDescent="0.2">
      <c r="A27" s="155"/>
      <c r="B27" s="156"/>
      <c r="C27" s="157"/>
      <c r="E27" s="154" t="s">
        <v>750</v>
      </c>
      <c r="G27" s="154" t="s">
        <v>602</v>
      </c>
      <c r="J27" s="154">
        <f t="shared" ref="J27:P27" si="8" xml:space="preserve"> J25 * J26</f>
        <v>0</v>
      </c>
      <c r="K27" s="154">
        <f t="shared" si="8"/>
        <v>0</v>
      </c>
      <c r="L27" s="154">
        <f t="shared" si="8"/>
        <v>0</v>
      </c>
      <c r="M27" s="154">
        <f t="shared" si="8"/>
        <v>0</v>
      </c>
      <c r="N27" s="154">
        <f t="shared" si="8"/>
        <v>0</v>
      </c>
      <c r="O27" s="154">
        <f t="shared" si="8"/>
        <v>0</v>
      </c>
      <c r="P27" s="154">
        <f t="shared" si="8"/>
        <v>0</v>
      </c>
      <c r="Q27" s="154">
        <f t="shared" ref="Q27:V27" si="9" xml:space="preserve"> Q25 * Q26</f>
        <v>0</v>
      </c>
      <c r="R27" s="154">
        <f t="shared" si="9"/>
        <v>0</v>
      </c>
      <c r="S27" s="154">
        <f t="shared" si="9"/>
        <v>0</v>
      </c>
      <c r="T27" s="154">
        <f t="shared" si="9"/>
        <v>0</v>
      </c>
      <c r="U27" s="154">
        <f t="shared" si="9"/>
        <v>3.0909999999999997</v>
      </c>
      <c r="V27" s="154">
        <f t="shared" si="9"/>
        <v>0</v>
      </c>
      <c r="W27" s="154">
        <f t="shared" ref="W27:X27" si="10" xml:space="preserve"> W25 * W26</f>
        <v>0</v>
      </c>
      <c r="X27" s="154">
        <f t="shared" si="10"/>
        <v>0</v>
      </c>
    </row>
    <row r="28" spans="1:24" x14ac:dyDescent="0.2">
      <c r="B28" s="97"/>
      <c r="E28" s="91"/>
    </row>
    <row r="29" spans="1:24" x14ac:dyDescent="0.2">
      <c r="B29" s="97" t="s">
        <v>751</v>
      </c>
      <c r="E29" s="91"/>
    </row>
    <row r="30" spans="1:24" s="86" customFormat="1" x14ac:dyDescent="0.2">
      <c r="A30" s="92"/>
      <c r="B30" s="97"/>
      <c r="C30" s="94"/>
      <c r="D30" s="75"/>
      <c r="E30" s="317" t="str">
        <f xml:space="preserve"> InpActive!E$90</f>
        <v>Marginal tax rate</v>
      </c>
      <c r="F30" s="317">
        <f xml:space="preserve"> InpActive!F$90</f>
        <v>0</v>
      </c>
      <c r="G30" s="317" t="str">
        <f xml:space="preserve"> InpActive!G$90</f>
        <v>Percentage</v>
      </c>
      <c r="H30" s="317">
        <f xml:space="preserve"> InpActive!H$90</f>
        <v>0</v>
      </c>
      <c r="I30" s="317">
        <f xml:space="preserve"> InpActive!I$90</f>
        <v>0</v>
      </c>
      <c r="J30" s="317">
        <f xml:space="preserve"> InpActive!J$90</f>
        <v>0</v>
      </c>
      <c r="K30" s="317">
        <f xml:space="preserve"> InpActive!K$90</f>
        <v>0</v>
      </c>
      <c r="L30" s="317">
        <f xml:space="preserve"> InpActive!L$90</f>
        <v>0</v>
      </c>
      <c r="M30" s="317">
        <f xml:space="preserve"> InpActive!M$90</f>
        <v>0</v>
      </c>
      <c r="N30" s="317">
        <f xml:space="preserve"> InpActive!N$90</f>
        <v>0</v>
      </c>
      <c r="O30" s="317">
        <f xml:space="preserve"> InpActive!O$90</f>
        <v>0</v>
      </c>
      <c r="P30" s="317">
        <f xml:space="preserve"> InpActive!P$90</f>
        <v>0</v>
      </c>
      <c r="Q30" s="317">
        <f xml:space="preserve"> InpActive!Q$90</f>
        <v>0</v>
      </c>
      <c r="R30" s="317">
        <f xml:space="preserve"> InpActive!R$90</f>
        <v>0</v>
      </c>
      <c r="S30" s="317">
        <f xml:space="preserve"> InpActive!S$90</f>
        <v>0</v>
      </c>
      <c r="T30" s="317">
        <f xml:space="preserve"> InpActive!T$90</f>
        <v>0</v>
      </c>
      <c r="U30" s="317">
        <f xml:space="preserve"> InpActive!U$90</f>
        <v>0</v>
      </c>
      <c r="V30" s="317">
        <f xml:space="preserve"> InpActive!V$90</f>
        <v>0</v>
      </c>
      <c r="W30" s="317">
        <f xml:space="preserve"> InpActive!W$90</f>
        <v>0</v>
      </c>
      <c r="X30" s="317">
        <f xml:space="preserve"> InpActive!X$90</f>
        <v>0</v>
      </c>
    </row>
    <row r="31" spans="1:24" x14ac:dyDescent="0.2">
      <c r="B31" s="97"/>
      <c r="E31" s="154" t="s">
        <v>752</v>
      </c>
      <c r="G31" s="95" t="s">
        <v>583</v>
      </c>
      <c r="J31" s="95">
        <f xml:space="preserve"> 1 / ( 1 - J30 ) - 1</f>
        <v>0</v>
      </c>
      <c r="K31" s="95">
        <f t="shared" ref="K31:T31" si="11" xml:space="preserve"> 1 / ( 1 - K30 ) - 1</f>
        <v>0</v>
      </c>
      <c r="L31" s="95">
        <f t="shared" si="11"/>
        <v>0</v>
      </c>
      <c r="M31" s="95">
        <f t="shared" si="11"/>
        <v>0</v>
      </c>
      <c r="N31" s="95">
        <f t="shared" si="11"/>
        <v>0</v>
      </c>
      <c r="O31" s="95">
        <f t="shared" si="11"/>
        <v>0</v>
      </c>
      <c r="P31" s="95">
        <f t="shared" si="11"/>
        <v>0</v>
      </c>
      <c r="Q31" s="95">
        <f t="shared" si="11"/>
        <v>0</v>
      </c>
      <c r="R31" s="95">
        <f t="shared" si="11"/>
        <v>0</v>
      </c>
      <c r="S31" s="95">
        <f t="shared" si="11"/>
        <v>0</v>
      </c>
      <c r="T31" s="95">
        <f t="shared" si="11"/>
        <v>0</v>
      </c>
      <c r="U31" s="95">
        <f t="shared" ref="U31:V31" si="12" xml:space="preserve"> 1 / ( 1 - U30 ) - 1</f>
        <v>0</v>
      </c>
      <c r="V31" s="95">
        <f t="shared" si="12"/>
        <v>0</v>
      </c>
      <c r="W31" s="95">
        <f t="shared" ref="W31:X31" si="13" xml:space="preserve"> 1 / ( 1 - W30 ) - 1</f>
        <v>0</v>
      </c>
      <c r="X31" s="95">
        <f t="shared" si="13"/>
        <v>0</v>
      </c>
    </row>
    <row r="32" spans="1:24" x14ac:dyDescent="0.2">
      <c r="B32" s="97"/>
      <c r="E32" s="91"/>
    </row>
    <row r="33" spans="1:24" s="154" customFormat="1" x14ac:dyDescent="0.2">
      <c r="A33" s="155"/>
      <c r="B33" s="156"/>
      <c r="C33" s="157"/>
      <c r="E33" s="154" t="str">
        <f xml:space="preserve"> E$27</f>
        <v>ODI value nominal prices</v>
      </c>
      <c r="F33" s="154">
        <f t="shared" ref="F33:X33" si="14" xml:space="preserve"> F$27</f>
        <v>0</v>
      </c>
      <c r="G33" s="154" t="str">
        <f t="shared" si="14"/>
        <v>£m (nominal)</v>
      </c>
      <c r="H33" s="154">
        <f t="shared" si="14"/>
        <v>0</v>
      </c>
      <c r="I33" s="154">
        <f t="shared" si="14"/>
        <v>0</v>
      </c>
      <c r="J33" s="154">
        <f t="shared" si="14"/>
        <v>0</v>
      </c>
      <c r="K33" s="154">
        <f t="shared" si="14"/>
        <v>0</v>
      </c>
      <c r="L33" s="154">
        <f t="shared" si="14"/>
        <v>0</v>
      </c>
      <c r="M33" s="154">
        <f t="shared" si="14"/>
        <v>0</v>
      </c>
      <c r="N33" s="154">
        <f t="shared" si="14"/>
        <v>0</v>
      </c>
      <c r="O33" s="154">
        <f t="shared" si="14"/>
        <v>0</v>
      </c>
      <c r="P33" s="154">
        <f t="shared" si="14"/>
        <v>0</v>
      </c>
      <c r="Q33" s="154">
        <f t="shared" si="14"/>
        <v>0</v>
      </c>
      <c r="R33" s="154">
        <f t="shared" si="14"/>
        <v>0</v>
      </c>
      <c r="S33" s="154">
        <f t="shared" si="14"/>
        <v>0</v>
      </c>
      <c r="T33" s="154">
        <f t="shared" si="14"/>
        <v>0</v>
      </c>
      <c r="U33" s="154">
        <f t="shared" si="14"/>
        <v>3.0909999999999997</v>
      </c>
      <c r="V33" s="154">
        <f t="shared" si="14"/>
        <v>0</v>
      </c>
      <c r="W33" s="154">
        <f t="shared" si="14"/>
        <v>0</v>
      </c>
      <c r="X33" s="154">
        <f t="shared" si="14"/>
        <v>0</v>
      </c>
    </row>
    <row r="34" spans="1:24" s="95" customFormat="1" x14ac:dyDescent="0.2">
      <c r="A34" s="194"/>
      <c r="B34" s="195"/>
      <c r="E34" s="95" t="str">
        <f xml:space="preserve"> E$31</f>
        <v>Tax on Tax geometric uplift</v>
      </c>
      <c r="F34" s="95">
        <f t="shared" ref="F34:X34" si="15" xml:space="preserve"> F$31</f>
        <v>0</v>
      </c>
      <c r="G34" s="95" t="str">
        <f t="shared" si="15"/>
        <v>Percentage</v>
      </c>
      <c r="H34" s="95">
        <f t="shared" si="15"/>
        <v>0</v>
      </c>
      <c r="I34" s="95">
        <f t="shared" si="15"/>
        <v>0</v>
      </c>
      <c r="J34" s="95">
        <f t="shared" si="15"/>
        <v>0</v>
      </c>
      <c r="K34" s="95">
        <f t="shared" si="15"/>
        <v>0</v>
      </c>
      <c r="L34" s="95">
        <f t="shared" si="15"/>
        <v>0</v>
      </c>
      <c r="M34" s="95">
        <f t="shared" si="15"/>
        <v>0</v>
      </c>
      <c r="N34" s="95">
        <f t="shared" si="15"/>
        <v>0</v>
      </c>
      <c r="O34" s="95">
        <f t="shared" si="15"/>
        <v>0</v>
      </c>
      <c r="P34" s="95">
        <f t="shared" si="15"/>
        <v>0</v>
      </c>
      <c r="Q34" s="95">
        <f t="shared" si="15"/>
        <v>0</v>
      </c>
      <c r="R34" s="95">
        <f t="shared" si="15"/>
        <v>0</v>
      </c>
      <c r="S34" s="95">
        <f t="shared" si="15"/>
        <v>0</v>
      </c>
      <c r="T34" s="95">
        <f t="shared" si="15"/>
        <v>0</v>
      </c>
      <c r="U34" s="95">
        <f t="shared" si="15"/>
        <v>0</v>
      </c>
      <c r="V34" s="95">
        <f t="shared" si="15"/>
        <v>0</v>
      </c>
      <c r="W34" s="95">
        <f t="shared" si="15"/>
        <v>0</v>
      </c>
      <c r="X34" s="95">
        <f t="shared" si="15"/>
        <v>0</v>
      </c>
    </row>
    <row r="35" spans="1:24" s="154" customFormat="1" x14ac:dyDescent="0.2">
      <c r="A35" s="155"/>
      <c r="B35" s="156"/>
      <c r="C35" s="157"/>
      <c r="E35" s="154" t="s">
        <v>753</v>
      </c>
      <c r="G35" s="154" t="s">
        <v>602</v>
      </c>
      <c r="H35" s="154">
        <f xml:space="preserve"> SUM( J35:T35 )</f>
        <v>0</v>
      </c>
      <c r="J35" s="154">
        <f t="shared" ref="J35:T35" si="16" xml:space="preserve"> J33 * J34</f>
        <v>0</v>
      </c>
      <c r="K35" s="154">
        <f t="shared" si="16"/>
        <v>0</v>
      </c>
      <c r="L35" s="154">
        <f t="shared" si="16"/>
        <v>0</v>
      </c>
      <c r="M35" s="154">
        <f t="shared" si="16"/>
        <v>0</v>
      </c>
      <c r="N35" s="154">
        <f t="shared" si="16"/>
        <v>0</v>
      </c>
      <c r="O35" s="154">
        <f t="shared" si="16"/>
        <v>0</v>
      </c>
      <c r="P35" s="154">
        <f t="shared" si="16"/>
        <v>0</v>
      </c>
      <c r="Q35" s="154">
        <f t="shared" si="16"/>
        <v>0</v>
      </c>
      <c r="R35" s="154">
        <f t="shared" si="16"/>
        <v>0</v>
      </c>
      <c r="S35" s="154">
        <f t="shared" si="16"/>
        <v>0</v>
      </c>
      <c r="T35" s="154">
        <f t="shared" si="16"/>
        <v>0</v>
      </c>
      <c r="U35" s="154">
        <f t="shared" ref="U35:V35" si="17" xml:space="preserve"> U33 * U34</f>
        <v>0</v>
      </c>
      <c r="V35" s="154">
        <f t="shared" si="17"/>
        <v>0</v>
      </c>
      <c r="W35" s="154">
        <f t="shared" ref="W35:X35" si="18" xml:space="preserve"> W33 * W34</f>
        <v>0</v>
      </c>
      <c r="X35" s="154">
        <f t="shared" si="18"/>
        <v>0</v>
      </c>
    </row>
    <row r="36" spans="1:24" s="154" customFormat="1" x14ac:dyDescent="0.2">
      <c r="A36" s="155"/>
      <c r="B36" s="156"/>
      <c r="C36" s="157"/>
    </row>
    <row r="37" spans="1:24" s="154" customFormat="1" x14ac:dyDescent="0.2">
      <c r="A37" s="155"/>
      <c r="B37" s="156"/>
      <c r="C37" s="157"/>
      <c r="E37" s="154" t="str">
        <f xml:space="preserve"> E$27</f>
        <v>ODI value nominal prices</v>
      </c>
      <c r="F37" s="154">
        <f t="shared" ref="F37:X37" si="19" xml:space="preserve"> F$27</f>
        <v>0</v>
      </c>
      <c r="G37" s="154" t="str">
        <f t="shared" si="19"/>
        <v>£m (nominal)</v>
      </c>
      <c r="H37" s="154">
        <f t="shared" si="19"/>
        <v>0</v>
      </c>
      <c r="I37" s="154">
        <f t="shared" si="19"/>
        <v>0</v>
      </c>
      <c r="J37" s="154">
        <f t="shared" si="19"/>
        <v>0</v>
      </c>
      <c r="K37" s="154">
        <f t="shared" si="19"/>
        <v>0</v>
      </c>
      <c r="L37" s="154">
        <f t="shared" si="19"/>
        <v>0</v>
      </c>
      <c r="M37" s="154">
        <f t="shared" si="19"/>
        <v>0</v>
      </c>
      <c r="N37" s="154">
        <f t="shared" si="19"/>
        <v>0</v>
      </c>
      <c r="O37" s="154">
        <f t="shared" si="19"/>
        <v>0</v>
      </c>
      <c r="P37" s="154">
        <f t="shared" si="19"/>
        <v>0</v>
      </c>
      <c r="Q37" s="154">
        <f t="shared" si="19"/>
        <v>0</v>
      </c>
      <c r="R37" s="154">
        <f t="shared" si="19"/>
        <v>0</v>
      </c>
      <c r="S37" s="154">
        <f t="shared" si="19"/>
        <v>0</v>
      </c>
      <c r="T37" s="154">
        <f t="shared" si="19"/>
        <v>0</v>
      </c>
      <c r="U37" s="154">
        <f t="shared" si="19"/>
        <v>3.0909999999999997</v>
      </c>
      <c r="V37" s="154">
        <f t="shared" si="19"/>
        <v>0</v>
      </c>
      <c r="W37" s="154">
        <f t="shared" si="19"/>
        <v>0</v>
      </c>
      <c r="X37" s="154">
        <f t="shared" si="19"/>
        <v>0</v>
      </c>
    </row>
    <row r="38" spans="1:24" s="154" customFormat="1" x14ac:dyDescent="0.2">
      <c r="A38" s="155"/>
      <c r="B38" s="156"/>
      <c r="C38" s="157"/>
      <c r="E38" s="154" t="str">
        <f xml:space="preserve"> E$35</f>
        <v>Tax on nominal ODI</v>
      </c>
      <c r="F38" s="154">
        <f t="shared" ref="F38:X38" si="20" xml:space="preserve"> F$35</f>
        <v>0</v>
      </c>
      <c r="G38" s="154" t="str">
        <f t="shared" si="20"/>
        <v>£m (nominal)</v>
      </c>
      <c r="H38" s="154">
        <f t="shared" si="20"/>
        <v>0</v>
      </c>
      <c r="I38" s="154">
        <f t="shared" si="20"/>
        <v>0</v>
      </c>
      <c r="J38" s="154">
        <f t="shared" si="20"/>
        <v>0</v>
      </c>
      <c r="K38" s="154">
        <f t="shared" si="20"/>
        <v>0</v>
      </c>
      <c r="L38" s="154">
        <f t="shared" si="20"/>
        <v>0</v>
      </c>
      <c r="M38" s="154">
        <f t="shared" si="20"/>
        <v>0</v>
      </c>
      <c r="N38" s="154">
        <f t="shared" si="20"/>
        <v>0</v>
      </c>
      <c r="O38" s="154">
        <f t="shared" si="20"/>
        <v>0</v>
      </c>
      <c r="P38" s="154">
        <f t="shared" si="20"/>
        <v>0</v>
      </c>
      <c r="Q38" s="154">
        <f t="shared" si="20"/>
        <v>0</v>
      </c>
      <c r="R38" s="154">
        <f t="shared" si="20"/>
        <v>0</v>
      </c>
      <c r="S38" s="154">
        <f t="shared" si="20"/>
        <v>0</v>
      </c>
      <c r="T38" s="154">
        <f t="shared" si="20"/>
        <v>0</v>
      </c>
      <c r="U38" s="154">
        <f t="shared" si="20"/>
        <v>0</v>
      </c>
      <c r="V38" s="154">
        <f t="shared" si="20"/>
        <v>0</v>
      </c>
      <c r="W38" s="154">
        <f t="shared" si="20"/>
        <v>0</v>
      </c>
      <c r="X38" s="154">
        <f t="shared" si="20"/>
        <v>0</v>
      </c>
    </row>
    <row r="39" spans="1:24" s="154" customFormat="1" x14ac:dyDescent="0.2">
      <c r="A39" s="155"/>
      <c r="B39" s="156"/>
      <c r="C39" s="157"/>
      <c r="E39" s="154" t="s">
        <v>754</v>
      </c>
      <c r="G39" s="154" t="s">
        <v>602</v>
      </c>
      <c r="H39" s="154">
        <f xml:space="preserve"> SUM( J39:T39 )</f>
        <v>0</v>
      </c>
      <c r="J39" s="162">
        <f xml:space="preserve"> J37 + J38</f>
        <v>0</v>
      </c>
      <c r="K39" s="162">
        <f t="shared" ref="K39:T39" si="21" xml:space="preserve"> K37 + K38</f>
        <v>0</v>
      </c>
      <c r="L39" s="162">
        <f t="shared" si="21"/>
        <v>0</v>
      </c>
      <c r="M39" s="162">
        <f t="shared" si="21"/>
        <v>0</v>
      </c>
      <c r="N39" s="162">
        <f t="shared" si="21"/>
        <v>0</v>
      </c>
      <c r="O39" s="162">
        <f t="shared" si="21"/>
        <v>0</v>
      </c>
      <c r="P39" s="162">
        <f t="shared" si="21"/>
        <v>0</v>
      </c>
      <c r="Q39" s="162">
        <f t="shared" si="21"/>
        <v>0</v>
      </c>
      <c r="R39" s="162">
        <f t="shared" si="21"/>
        <v>0</v>
      </c>
      <c r="S39" s="162">
        <f t="shared" si="21"/>
        <v>0</v>
      </c>
      <c r="T39" s="162">
        <f t="shared" si="21"/>
        <v>0</v>
      </c>
      <c r="U39" s="162">
        <f t="shared" ref="U39:V39" si="22" xml:space="preserve"> U37 + U38</f>
        <v>3.0909999999999997</v>
      </c>
      <c r="V39" s="162">
        <f t="shared" si="22"/>
        <v>0</v>
      </c>
      <c r="W39" s="162">
        <f t="shared" ref="W39:X39" si="23" xml:space="preserve"> W37 + W38</f>
        <v>0</v>
      </c>
      <c r="X39" s="162">
        <f t="shared" si="23"/>
        <v>0</v>
      </c>
    </row>
    <row r="40" spans="1:24" s="154" customFormat="1" x14ac:dyDescent="0.2">
      <c r="A40" s="155"/>
      <c r="B40" s="156"/>
      <c r="C40" s="157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</row>
    <row r="41" spans="1:24" s="154" customFormat="1" x14ac:dyDescent="0.2">
      <c r="A41" s="155"/>
      <c r="B41" s="156"/>
      <c r="C41" s="157"/>
      <c r="E41" s="85" t="str">
        <f>InpActive!E16</f>
        <v>Thousands in a million</v>
      </c>
      <c r="F41" s="85">
        <f>InpActive!F16</f>
        <v>1000</v>
      </c>
      <c r="G41" s="85" t="str">
        <f>InpActive!G16</f>
        <v>unit</v>
      </c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</row>
    <row r="42" spans="1:24" x14ac:dyDescent="0.2">
      <c r="B42" s="97"/>
      <c r="E42" s="201" t="str">
        <f>E$39</f>
        <v xml:space="preserve">Total value of ODI </v>
      </c>
      <c r="F42" s="201">
        <f t="shared" ref="F42:X42" si="24">F$39</f>
        <v>0</v>
      </c>
      <c r="G42" s="201" t="str">
        <f t="shared" si="24"/>
        <v>£m (nominal)</v>
      </c>
      <c r="H42" s="201">
        <f t="shared" si="24"/>
        <v>0</v>
      </c>
      <c r="I42" s="201">
        <f t="shared" si="24"/>
        <v>0</v>
      </c>
      <c r="J42" s="201">
        <f t="shared" si="24"/>
        <v>0</v>
      </c>
      <c r="K42" s="201">
        <f t="shared" si="24"/>
        <v>0</v>
      </c>
      <c r="L42" s="201">
        <f t="shared" si="24"/>
        <v>0</v>
      </c>
      <c r="M42" s="201">
        <f t="shared" si="24"/>
        <v>0</v>
      </c>
      <c r="N42" s="201">
        <f t="shared" si="24"/>
        <v>0</v>
      </c>
      <c r="O42" s="201">
        <f t="shared" si="24"/>
        <v>0</v>
      </c>
      <c r="P42" s="201">
        <f t="shared" si="24"/>
        <v>0</v>
      </c>
      <c r="Q42" s="201">
        <f t="shared" si="24"/>
        <v>0</v>
      </c>
      <c r="R42" s="201">
        <f t="shared" si="24"/>
        <v>0</v>
      </c>
      <c r="S42" s="201">
        <f t="shared" si="24"/>
        <v>0</v>
      </c>
      <c r="T42" s="201">
        <f t="shared" si="24"/>
        <v>0</v>
      </c>
      <c r="U42" s="201">
        <f t="shared" si="24"/>
        <v>3.0909999999999997</v>
      </c>
      <c r="V42" s="201">
        <f t="shared" si="24"/>
        <v>0</v>
      </c>
      <c r="W42" s="201">
        <f t="shared" si="24"/>
        <v>0</v>
      </c>
      <c r="X42" s="201">
        <f t="shared" si="24"/>
        <v>0</v>
      </c>
    </row>
    <row r="43" spans="1:24" x14ac:dyDescent="0.2">
      <c r="B43" s="97"/>
      <c r="E43" s="421" t="str">
        <f>InpActive!E130</f>
        <v>Total customer numbers for residential retail</v>
      </c>
      <c r="F43" s="422">
        <f>InpActive!F130</f>
        <v>0</v>
      </c>
      <c r="G43" s="423" t="str">
        <f>InpActive!G130</f>
        <v>000s</v>
      </c>
      <c r="H43" s="422">
        <f>InpActive!H130</f>
        <v>0</v>
      </c>
      <c r="I43" s="422">
        <f>InpActive!I130</f>
        <v>0</v>
      </c>
      <c r="J43" s="424">
        <f>InpActive!J130</f>
        <v>0</v>
      </c>
      <c r="K43" s="424">
        <f>InpActive!K130</f>
        <v>0</v>
      </c>
      <c r="L43" s="424">
        <f>InpActive!L130</f>
        <v>0</v>
      </c>
      <c r="M43" s="424">
        <f>InpActive!M130</f>
        <v>0</v>
      </c>
      <c r="N43" s="424">
        <f>InpActive!N130</f>
        <v>0</v>
      </c>
      <c r="O43" s="424">
        <f>InpActive!O130</f>
        <v>0</v>
      </c>
      <c r="P43" s="424">
        <f>InpActive!P130</f>
        <v>0</v>
      </c>
      <c r="Q43" s="424">
        <f>InpActive!Q130</f>
        <v>0</v>
      </c>
      <c r="R43" s="424">
        <f>InpActive!R130</f>
        <v>0</v>
      </c>
      <c r="S43" s="424">
        <f>InpActive!S130</f>
        <v>0</v>
      </c>
      <c r="T43" s="424">
        <f>InpActive!T130</f>
        <v>0</v>
      </c>
      <c r="U43" s="424">
        <f>InpActive!U130</f>
        <v>0</v>
      </c>
      <c r="V43" s="424">
        <f>InpActive!V130</f>
        <v>0</v>
      </c>
      <c r="W43" s="424">
        <f>InpActive!W130</f>
        <v>0</v>
      </c>
      <c r="X43" s="424">
        <f>InpActive!X130</f>
        <v>0</v>
      </c>
    </row>
    <row r="44" spans="1:24" x14ac:dyDescent="0.2">
      <c r="B44" s="97"/>
      <c r="E44" s="201" t="s">
        <v>767</v>
      </c>
      <c r="G44" s="88" t="s">
        <v>768</v>
      </c>
      <c r="H44" s="88"/>
      <c r="I44" s="88"/>
      <c r="J44" s="7">
        <f>IF(J42=0,0,(J42/J43)*$F41)</f>
        <v>0</v>
      </c>
      <c r="K44" s="7">
        <f t="shared" ref="K44:X44" si="25">IF(K42=0,0,(K42/K43)*$F41)</f>
        <v>0</v>
      </c>
      <c r="L44" s="7">
        <f t="shared" si="25"/>
        <v>0</v>
      </c>
      <c r="M44" s="7">
        <f t="shared" si="25"/>
        <v>0</v>
      </c>
      <c r="N44" s="7">
        <f t="shared" si="25"/>
        <v>0</v>
      </c>
      <c r="O44" s="7">
        <f t="shared" si="25"/>
        <v>0</v>
      </c>
      <c r="P44" s="7">
        <f t="shared" si="25"/>
        <v>0</v>
      </c>
      <c r="Q44" s="7">
        <f t="shared" si="25"/>
        <v>0</v>
      </c>
      <c r="R44" s="7">
        <f t="shared" si="25"/>
        <v>0</v>
      </c>
      <c r="S44" s="7">
        <f t="shared" si="25"/>
        <v>0</v>
      </c>
      <c r="T44" s="7">
        <f t="shared" si="25"/>
        <v>0</v>
      </c>
      <c r="U44" s="7" t="e">
        <f>IF(U42=0,0,(U42/U43)*$F41)</f>
        <v>#DIV/0!</v>
      </c>
      <c r="V44" s="7">
        <f t="shared" si="25"/>
        <v>0</v>
      </c>
      <c r="W44" s="7">
        <f t="shared" si="25"/>
        <v>0</v>
      </c>
      <c r="X44" s="7">
        <f t="shared" si="25"/>
        <v>0</v>
      </c>
    </row>
    <row r="45" spans="1:24" x14ac:dyDescent="0.2">
      <c r="B45" s="97"/>
      <c r="E45" s="91"/>
      <c r="H45" s="88"/>
      <c r="I45" s="88"/>
    </row>
    <row r="46" spans="1:24" x14ac:dyDescent="0.2">
      <c r="B46" s="97" t="s">
        <v>769</v>
      </c>
      <c r="E46" s="91"/>
      <c r="H46" s="88"/>
      <c r="I46" s="88"/>
    </row>
    <row r="47" spans="1:24" s="86" customFormat="1" x14ac:dyDescent="0.2">
      <c r="A47" s="92"/>
      <c r="B47" s="93"/>
      <c r="C47" s="94"/>
      <c r="D47" s="75"/>
      <c r="E47" s="295" t="str">
        <f>InpActive!E129</f>
        <v>Revenue cost per customer (m) - residential retail</v>
      </c>
      <c r="F47" s="160"/>
      <c r="G47" s="295" t="str">
        <f>InpActive!G129</f>
        <v>£ / customer (nominal)</v>
      </c>
      <c r="H47" s="160"/>
      <c r="I47" s="160"/>
      <c r="J47" s="295">
        <f>InpActive!J129</f>
        <v>0</v>
      </c>
      <c r="K47" s="295">
        <f>InpActive!K129</f>
        <v>0</v>
      </c>
      <c r="L47" s="295">
        <f>InpActive!L129</f>
        <v>0</v>
      </c>
      <c r="M47" s="295">
        <f>InpActive!M129</f>
        <v>0</v>
      </c>
      <c r="N47" s="295">
        <f>InpActive!N129</f>
        <v>0</v>
      </c>
      <c r="O47" s="295">
        <f>InpActive!O129</f>
        <v>0</v>
      </c>
      <c r="P47" s="295">
        <f>InpActive!P129</f>
        <v>0</v>
      </c>
      <c r="Q47" s="295">
        <f>InpActive!Q129</f>
        <v>0</v>
      </c>
      <c r="R47" s="295">
        <f>InpActive!R129</f>
        <v>0</v>
      </c>
      <c r="S47" s="295">
        <f>InpActive!S129</f>
        <v>0</v>
      </c>
      <c r="T47" s="295">
        <f>InpActive!T129</f>
        <v>0</v>
      </c>
      <c r="U47" s="295">
        <f>InpActive!U129</f>
        <v>0</v>
      </c>
      <c r="V47" s="295">
        <f>InpActive!V129</f>
        <v>0</v>
      </c>
      <c r="W47" s="295">
        <f>InpActive!W129</f>
        <v>0</v>
      </c>
      <c r="X47" s="295">
        <f>InpActive!X129</f>
        <v>0</v>
      </c>
    </row>
    <row r="48" spans="1:24" x14ac:dyDescent="0.2">
      <c r="B48" s="97"/>
      <c r="E48" s="291" t="str">
        <f>E44</f>
        <v xml:space="preserve">Total value of ODI per customer </v>
      </c>
      <c r="F48" s="291">
        <f t="shared" ref="F48:X48" si="26">F44</f>
        <v>0</v>
      </c>
      <c r="G48" s="291" t="str">
        <f t="shared" si="26"/>
        <v>£ nominal</v>
      </c>
      <c r="H48" s="291">
        <f t="shared" si="26"/>
        <v>0</v>
      </c>
      <c r="I48" s="291">
        <f t="shared" si="26"/>
        <v>0</v>
      </c>
      <c r="J48" s="291">
        <f t="shared" si="26"/>
        <v>0</v>
      </c>
      <c r="K48" s="291">
        <f t="shared" si="26"/>
        <v>0</v>
      </c>
      <c r="L48" s="291">
        <f t="shared" si="26"/>
        <v>0</v>
      </c>
      <c r="M48" s="291">
        <f t="shared" si="26"/>
        <v>0</v>
      </c>
      <c r="N48" s="291">
        <f t="shared" si="26"/>
        <v>0</v>
      </c>
      <c r="O48" s="291">
        <f t="shared" si="26"/>
        <v>0</v>
      </c>
      <c r="P48" s="291">
        <f t="shared" si="26"/>
        <v>0</v>
      </c>
      <c r="Q48" s="291">
        <f t="shared" si="26"/>
        <v>0</v>
      </c>
      <c r="R48" s="291">
        <f t="shared" si="26"/>
        <v>0</v>
      </c>
      <c r="S48" s="291">
        <f t="shared" si="26"/>
        <v>0</v>
      </c>
      <c r="T48" s="291">
        <f t="shared" si="26"/>
        <v>0</v>
      </c>
      <c r="U48" s="291" t="e">
        <f t="shared" si="26"/>
        <v>#DIV/0!</v>
      </c>
      <c r="V48" s="291">
        <f t="shared" si="26"/>
        <v>0</v>
      </c>
      <c r="W48" s="291">
        <f t="shared" si="26"/>
        <v>0</v>
      </c>
      <c r="X48" s="291">
        <f t="shared" si="26"/>
        <v>0</v>
      </c>
    </row>
    <row r="49" spans="1:24" s="57" customFormat="1" x14ac:dyDescent="0.2">
      <c r="A49" s="140"/>
      <c r="B49" s="141"/>
      <c r="C49" s="142"/>
      <c r="D49" s="108"/>
      <c r="E49" s="178" t="s">
        <v>305</v>
      </c>
      <c r="F49" s="178"/>
      <c r="G49" s="178" t="s">
        <v>768</v>
      </c>
      <c r="H49" s="178"/>
      <c r="I49" s="178"/>
      <c r="J49" s="319">
        <f xml:space="preserve"> J47 + J48</f>
        <v>0</v>
      </c>
      <c r="K49" s="319">
        <f t="shared" ref="K49:T49" si="27" xml:space="preserve"> K47 + K48</f>
        <v>0</v>
      </c>
      <c r="L49" s="319">
        <f t="shared" si="27"/>
        <v>0</v>
      </c>
      <c r="M49" s="319">
        <f t="shared" si="27"/>
        <v>0</v>
      </c>
      <c r="N49" s="319">
        <f t="shared" si="27"/>
        <v>0</v>
      </c>
      <c r="O49" s="319">
        <f t="shared" si="27"/>
        <v>0</v>
      </c>
      <c r="P49" s="319">
        <f t="shared" si="27"/>
        <v>0</v>
      </c>
      <c r="Q49" s="319">
        <f t="shared" si="27"/>
        <v>0</v>
      </c>
      <c r="R49" s="319">
        <f t="shared" si="27"/>
        <v>0</v>
      </c>
      <c r="S49" s="319">
        <f t="shared" si="27"/>
        <v>0</v>
      </c>
      <c r="T49" s="319">
        <f t="shared" si="27"/>
        <v>0</v>
      </c>
      <c r="U49" s="319" t="e">
        <f t="shared" ref="U49:V49" si="28" xml:space="preserve"> U47 + U48</f>
        <v>#DIV/0!</v>
      </c>
      <c r="V49" s="319">
        <f t="shared" si="28"/>
        <v>0</v>
      </c>
      <c r="W49" s="319">
        <f t="shared" ref="W49:X49" si="29" xml:space="preserve"> W47 + W48</f>
        <v>0</v>
      </c>
      <c r="X49" s="319">
        <f t="shared" si="29"/>
        <v>0</v>
      </c>
    </row>
    <row r="50" spans="1:24" x14ac:dyDescent="0.2">
      <c r="B50" s="97"/>
      <c r="E50" s="91"/>
      <c r="H50" s="88"/>
      <c r="I50" s="88"/>
    </row>
    <row r="51" spans="1:24" s="208" customFormat="1" ht="13.5" x14ac:dyDescent="0.25">
      <c r="A51" s="208" t="s">
        <v>134</v>
      </c>
    </row>
  </sheetData>
  <conditionalFormatting sqref="J3:X3">
    <cfRule type="cellIs" dxfId="32" priority="1" operator="equal">
      <formula>"Post-Fcst"</formula>
    </cfRule>
    <cfRule type="cellIs" dxfId="31" priority="2" operator="equal">
      <formula>"Post-Fcst Mod"</formula>
    </cfRule>
    <cfRule type="cellIs" dxfId="30" priority="3" operator="equal">
      <formula>"Forecast"</formula>
    </cfRule>
    <cfRule type="cellIs" dxfId="29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  <ignoredErrors>
    <ignoredError sqref="H34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F23F9-F4AF-4197-A43E-F4A8208C18B1}">
  <sheetPr>
    <tabColor theme="5"/>
    <outlinePr summaryBelow="0" summaryRight="0"/>
    <pageSetUpPr fitToPage="1"/>
  </sheetPr>
  <dimension ref="A1:X131"/>
  <sheetViews>
    <sheetView showGridLines="0" zoomScale="80" zoomScaleNormal="80" workbookViewId="0">
      <pane xSplit="9" ySplit="5" topLeftCell="J6" activePane="bottomRight" state="frozen"/>
      <selection pane="topRight" activeCell="B4" sqref="B4"/>
      <selection pane="bottomLeft" activeCell="B4" sqref="B4"/>
      <selection pane="bottomRight"/>
    </sheetView>
  </sheetViews>
  <sheetFormatPr defaultColWidth="9.625" defaultRowHeight="12.75" zeroHeight="1" x14ac:dyDescent="0.2"/>
  <cols>
    <col min="1" max="1" width="1.625" style="96" customWidth="1"/>
    <col min="2" max="2" width="1.625" style="139" customWidth="1"/>
    <col min="3" max="3" width="1.625" style="98" customWidth="1"/>
    <col min="4" max="4" width="1.625" style="88" customWidth="1"/>
    <col min="5" max="5" width="100.625" style="88" bestFit="1" customWidth="1"/>
    <col min="6" max="6" width="15.625" style="88" customWidth="1"/>
    <col min="7" max="7" width="30.625" style="88" customWidth="1"/>
    <col min="8" max="8" width="15.625" style="30" customWidth="1"/>
    <col min="9" max="9" width="3.625" style="30" customWidth="1"/>
    <col min="10" max="24" width="9.625" style="30" customWidth="1"/>
    <col min="25" max="16384" width="9.625" style="30"/>
  </cols>
  <sheetData>
    <row r="1" spans="1:24" s="103" customFormat="1" ht="44.25" x14ac:dyDescent="0.2">
      <c r="A1" s="132" t="str">
        <f ca="1" xml:space="preserve"> RIGHT(CELL("filename", $A$1), LEN(CELL("filename", $A$1)) - SEARCH("]", CELL("filename", $A$1)))</f>
        <v>Business retail</v>
      </c>
      <c r="B1" s="133"/>
      <c r="C1" s="134"/>
      <c r="D1" s="130"/>
      <c r="E1" s="130"/>
      <c r="F1" s="130"/>
      <c r="G1" s="130"/>
      <c r="H1" s="393" t="str">
        <f>InpActive!F9</f>
        <v>Anglian Water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4" customFormat="1" x14ac:dyDescent="0.2">
      <c r="A2" s="135"/>
      <c r="B2" s="136"/>
      <c r="C2" s="137"/>
      <c r="D2" s="138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19" customFormat="1" x14ac:dyDescent="0.2">
      <c r="A3" s="131"/>
      <c r="B3" s="136"/>
      <c r="C3" s="137"/>
      <c r="D3" s="138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8" customFormat="1" x14ac:dyDescent="0.2">
      <c r="A4" s="131"/>
      <c r="B4" s="136"/>
      <c r="C4" s="137"/>
      <c r="D4" s="138"/>
      <c r="E4" s="120" t="str">
        <f>Time!E$106</f>
        <v>Financial Year Ending</v>
      </c>
      <c r="F4" s="120"/>
      <c r="G4" s="120"/>
      <c r="H4" s="116"/>
      <c r="I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29" customFormat="1" x14ac:dyDescent="0.2">
      <c r="A5" s="131"/>
      <c r="B5" s="136"/>
      <c r="C5" s="137"/>
      <c r="D5" s="138"/>
      <c r="E5" s="120" t="str">
        <f>Time!E$10</f>
        <v>Model column counter</v>
      </c>
      <c r="F5" s="131" t="s">
        <v>532</v>
      </c>
      <c r="G5" s="131" t="s">
        <v>186</v>
      </c>
      <c r="H5" s="19" t="s">
        <v>533</v>
      </c>
      <c r="I5" s="24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29" customFormat="1" x14ac:dyDescent="0.2">
      <c r="A6" s="131"/>
      <c r="B6" s="136"/>
      <c r="C6" s="137"/>
      <c r="D6" s="138"/>
      <c r="E6" s="120"/>
      <c r="F6" s="131"/>
      <c r="G6" s="131"/>
      <c r="H6" s="19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209" customFormat="1" ht="13.5" x14ac:dyDescent="0.25">
      <c r="A7" s="209" t="s">
        <v>539</v>
      </c>
    </row>
    <row r="8" spans="1:24" x14ac:dyDescent="0.2">
      <c r="B8" s="97"/>
      <c r="E8" s="91"/>
    </row>
    <row r="9" spans="1:24" s="154" customFormat="1" x14ac:dyDescent="0.2">
      <c r="A9" s="155"/>
      <c r="B9" s="156" t="s">
        <v>741</v>
      </c>
      <c r="C9" s="157"/>
    </row>
    <row r="10" spans="1:24" s="295" customFormat="1" x14ac:dyDescent="0.2">
      <c r="A10" s="345"/>
      <c r="B10" s="346"/>
      <c r="E10" s="295" t="str">
        <f xml:space="preserve"> 'Abatements and deferrals'!E$150</f>
        <v>Payments after abatements and deferrals and other bespoke adjustments - business retail</v>
      </c>
      <c r="F10" s="295">
        <f xml:space="preserve"> 'Abatements and deferrals'!F$150</f>
        <v>0</v>
      </c>
      <c r="G10" s="295" t="str">
        <f xml:space="preserve"> 'Abatements and deferrals'!G$150</f>
        <v>£m (2017-18 FYA CPIH prices)</v>
      </c>
      <c r="H10" s="295">
        <f xml:space="preserve"> 'Abatements and deferrals'!H$150</f>
        <v>0</v>
      </c>
      <c r="I10" s="295">
        <f xml:space="preserve"> 'Abatements and deferrals'!I$150</f>
        <v>0</v>
      </c>
    </row>
    <row r="11" spans="1:24" s="154" customFormat="1" x14ac:dyDescent="0.2">
      <c r="A11" s="155"/>
      <c r="B11" s="156"/>
      <c r="C11" s="157"/>
      <c r="E11" s="291"/>
      <c r="G11" s="291"/>
      <c r="H11" s="291"/>
    </row>
    <row r="12" spans="1:24" s="154" customFormat="1" x14ac:dyDescent="0.2">
      <c r="A12" s="155"/>
      <c r="B12" s="156" t="s">
        <v>742</v>
      </c>
      <c r="C12" s="157"/>
    </row>
    <row r="13" spans="1:24" s="154" customFormat="1" x14ac:dyDescent="0.2">
      <c r="A13" s="155"/>
      <c r="B13" s="156"/>
      <c r="C13" s="157"/>
    </row>
    <row r="14" spans="1:24" s="160" customFormat="1" x14ac:dyDescent="0.2">
      <c r="A14" s="158"/>
      <c r="B14" s="159"/>
      <c r="E14" s="295" t="str">
        <f xml:space="preserve"> InpActive!E$12</f>
        <v>Reporting year</v>
      </c>
      <c r="F14" s="295" t="str">
        <f xml:space="preserve"> InpActive!F$12</f>
        <v>2024-25</v>
      </c>
      <c r="G14" s="295" t="str">
        <f xml:space="preserve"> InpActive!G$12</f>
        <v>Financial year</v>
      </c>
    </row>
    <row r="15" spans="1:24" s="154" customFormat="1" x14ac:dyDescent="0.2">
      <c r="A15" s="155"/>
      <c r="B15" s="156"/>
      <c r="C15" s="157"/>
      <c r="E15" s="154" t="s">
        <v>743</v>
      </c>
      <c r="F15" s="215">
        <f>_xlfn.NUMBERVALUE(CONCATENATE(20,RIGHT(F14,2)))</f>
        <v>2025</v>
      </c>
    </row>
    <row r="16" spans="1:24" s="160" customFormat="1" x14ac:dyDescent="0.2">
      <c r="A16" s="158"/>
      <c r="B16" s="159"/>
      <c r="E16" s="171" t="str">
        <f xml:space="preserve"> Time!E$106</f>
        <v>Financial Year Ending</v>
      </c>
      <c r="F16" s="169">
        <f xml:space="preserve"> Time!F$106</f>
        <v>0</v>
      </c>
      <c r="G16" s="169" t="str">
        <f xml:space="preserve"> Time!G$106</f>
        <v>year #</v>
      </c>
      <c r="H16" s="169">
        <f xml:space="preserve"> Time!H$106</f>
        <v>0</v>
      </c>
      <c r="I16" s="169">
        <f xml:space="preserve"> Time!I$106</f>
        <v>0</v>
      </c>
      <c r="J16" s="214">
        <f xml:space="preserve"> Time!J$106</f>
        <v>2016</v>
      </c>
      <c r="K16" s="214">
        <f xml:space="preserve"> Time!K$106</f>
        <v>2017</v>
      </c>
      <c r="L16" s="214">
        <f xml:space="preserve"> Time!L$106</f>
        <v>2018</v>
      </c>
      <c r="M16" s="214">
        <f xml:space="preserve"> Time!M$106</f>
        <v>2019</v>
      </c>
      <c r="N16" s="214">
        <f xml:space="preserve"> Time!N$106</f>
        <v>2020</v>
      </c>
      <c r="O16" s="214">
        <f xml:space="preserve"> Time!O$106</f>
        <v>2021</v>
      </c>
      <c r="P16" s="214">
        <f xml:space="preserve"> Time!P$106</f>
        <v>2022</v>
      </c>
      <c r="Q16" s="214">
        <f xml:space="preserve"> Time!Q$106</f>
        <v>2023</v>
      </c>
      <c r="R16" s="214">
        <f xml:space="preserve"> Time!R$106</f>
        <v>2024</v>
      </c>
      <c r="S16" s="214">
        <f xml:space="preserve"> Time!S$106</f>
        <v>2025</v>
      </c>
      <c r="T16" s="214">
        <f xml:space="preserve"> Time!T$106</f>
        <v>2026</v>
      </c>
      <c r="U16" s="214">
        <f xml:space="preserve"> Time!U$106</f>
        <v>2027</v>
      </c>
      <c r="V16" s="214">
        <f xml:space="preserve"> Time!V$106</f>
        <v>2028</v>
      </c>
      <c r="W16" s="214">
        <f xml:space="preserve"> Time!W$106</f>
        <v>2029</v>
      </c>
      <c r="X16" s="214">
        <f xml:space="preserve"> Time!X$106</f>
        <v>2030</v>
      </c>
    </row>
    <row r="17" spans="1:24" s="154" customFormat="1" x14ac:dyDescent="0.2">
      <c r="A17" s="155"/>
      <c r="B17" s="156"/>
      <c r="C17" s="157"/>
      <c r="E17" s="154" t="s">
        <v>744</v>
      </c>
      <c r="G17" s="154" t="s">
        <v>644</v>
      </c>
      <c r="J17" s="170">
        <f xml:space="preserve"> IF( J16 = $F15, 1, 0 )</f>
        <v>0</v>
      </c>
      <c r="K17" s="170">
        <f t="shared" ref="K17:T17" si="0" xml:space="preserve"> IF( K16 = $F15, 1, 0 )</f>
        <v>0</v>
      </c>
      <c r="L17" s="170">
        <f t="shared" si="0"/>
        <v>0</v>
      </c>
      <c r="M17" s="170">
        <f t="shared" si="0"/>
        <v>0</v>
      </c>
      <c r="N17" s="170">
        <f t="shared" si="0"/>
        <v>0</v>
      </c>
      <c r="O17" s="170">
        <f t="shared" si="0"/>
        <v>0</v>
      </c>
      <c r="P17" s="170">
        <f t="shared" si="0"/>
        <v>0</v>
      </c>
      <c r="Q17" s="170">
        <f t="shared" si="0"/>
        <v>0</v>
      </c>
      <c r="R17" s="170">
        <f t="shared" si="0"/>
        <v>0</v>
      </c>
      <c r="S17" s="170">
        <f t="shared" si="0"/>
        <v>1</v>
      </c>
      <c r="T17" s="170">
        <f t="shared" si="0"/>
        <v>0</v>
      </c>
      <c r="U17" s="170">
        <f t="shared" ref="U17:V17" si="1" xml:space="preserve"> IF( U16 = $F15, 1, 0 )</f>
        <v>0</v>
      </c>
      <c r="V17" s="170">
        <f t="shared" si="1"/>
        <v>0</v>
      </c>
      <c r="W17" s="170">
        <f t="shared" ref="W17:X17" si="2" xml:space="preserve"> IF( W16 = $F15, 1, 0 )</f>
        <v>0</v>
      </c>
      <c r="X17" s="170">
        <f t="shared" si="2"/>
        <v>0</v>
      </c>
    </row>
    <row r="18" spans="1:24" s="154" customFormat="1" x14ac:dyDescent="0.2">
      <c r="A18" s="155"/>
      <c r="B18" s="156"/>
      <c r="C18" s="157"/>
      <c r="E18" s="154" t="s">
        <v>745</v>
      </c>
      <c r="G18" s="154" t="s">
        <v>644</v>
      </c>
      <c r="J18" s="170">
        <f xml:space="preserve"> IF( H17 = 1, 1, 0 )</f>
        <v>0</v>
      </c>
      <c r="K18" s="170">
        <f t="shared" ref="K18:U18" si="3" xml:space="preserve"> IF( I17 = 1, 1, 0 )</f>
        <v>0</v>
      </c>
      <c r="L18" s="170">
        <f t="shared" si="3"/>
        <v>0</v>
      </c>
      <c r="M18" s="170">
        <f t="shared" si="3"/>
        <v>0</v>
      </c>
      <c r="N18" s="170">
        <f t="shared" si="3"/>
        <v>0</v>
      </c>
      <c r="O18" s="170">
        <f t="shared" si="3"/>
        <v>0</v>
      </c>
      <c r="P18" s="170">
        <f t="shared" si="3"/>
        <v>0</v>
      </c>
      <c r="Q18" s="170">
        <f t="shared" si="3"/>
        <v>0</v>
      </c>
      <c r="R18" s="170">
        <f t="shared" si="3"/>
        <v>0</v>
      </c>
      <c r="S18" s="170">
        <f t="shared" si="3"/>
        <v>0</v>
      </c>
      <c r="T18" s="170">
        <f t="shared" si="3"/>
        <v>0</v>
      </c>
      <c r="U18" s="170">
        <f t="shared" si="3"/>
        <v>1</v>
      </c>
      <c r="V18" s="170">
        <f xml:space="preserve"> IF( T17 = 1, 1, 0 )</f>
        <v>0</v>
      </c>
      <c r="W18" s="170">
        <f xml:space="preserve"> IF( U17 = 1, 1, 0 )</f>
        <v>0</v>
      </c>
      <c r="X18" s="170">
        <f xml:space="preserve"> IF( V17 = 1, 1, 0 )</f>
        <v>0</v>
      </c>
    </row>
    <row r="19" spans="1:24" s="154" customFormat="1" x14ac:dyDescent="0.2">
      <c r="A19" s="155"/>
      <c r="B19" s="156"/>
      <c r="C19" s="157"/>
    </row>
    <row r="20" spans="1:24" s="154" customFormat="1" x14ac:dyDescent="0.2">
      <c r="A20" s="155"/>
      <c r="B20" s="156"/>
      <c r="C20" s="157"/>
      <c r="E20" s="291" t="str">
        <f xml:space="preserve"> E10</f>
        <v>Payments after abatements and deferrals and other bespoke adjustments - business retail</v>
      </c>
      <c r="G20" s="291" t="str">
        <f xml:space="preserve"> G10</f>
        <v>£m (2017-18 FYA CPIH prices)</v>
      </c>
      <c r="J20" s="291">
        <f t="shared" ref="J20:T20" si="4" xml:space="preserve"> IF( J18 = 1, $F10, 0 )</f>
        <v>0</v>
      </c>
      <c r="K20" s="291">
        <f t="shared" si="4"/>
        <v>0</v>
      </c>
      <c r="L20" s="291">
        <f t="shared" si="4"/>
        <v>0</v>
      </c>
      <c r="M20" s="291">
        <f t="shared" si="4"/>
        <v>0</v>
      </c>
      <c r="N20" s="291">
        <f t="shared" si="4"/>
        <v>0</v>
      </c>
      <c r="O20" s="291">
        <f t="shared" si="4"/>
        <v>0</v>
      </c>
      <c r="P20" s="291">
        <f t="shared" si="4"/>
        <v>0</v>
      </c>
      <c r="Q20" s="291">
        <f t="shared" si="4"/>
        <v>0</v>
      </c>
      <c r="R20" s="291">
        <f t="shared" si="4"/>
        <v>0</v>
      </c>
      <c r="S20" s="291">
        <f t="shared" si="4"/>
        <v>0</v>
      </c>
      <c r="T20" s="291">
        <f t="shared" si="4"/>
        <v>0</v>
      </c>
      <c r="U20" s="291">
        <f t="shared" ref="U20:V20" si="5" xml:space="preserve"> IF( U18 = 1, $F10, 0 )</f>
        <v>0</v>
      </c>
      <c r="V20" s="291">
        <f t="shared" si="5"/>
        <v>0</v>
      </c>
      <c r="W20" s="291">
        <f t="shared" ref="W20:X20" si="6" xml:space="preserve"> IF( W18 = 1, $F10, 0 )</f>
        <v>0</v>
      </c>
      <c r="X20" s="291">
        <f t="shared" si="6"/>
        <v>0</v>
      </c>
    </row>
    <row r="21" spans="1:24" x14ac:dyDescent="0.2">
      <c r="B21" s="97"/>
      <c r="E21" s="91"/>
    </row>
    <row r="22" spans="1:24" s="209" customFormat="1" ht="13.5" x14ac:dyDescent="0.25">
      <c r="A22" s="209" t="s">
        <v>746</v>
      </c>
    </row>
    <row r="23" spans="1:24" x14ac:dyDescent="0.2">
      <c r="B23" s="97"/>
      <c r="E23" s="91"/>
    </row>
    <row r="24" spans="1:24" x14ac:dyDescent="0.2">
      <c r="B24" s="97" t="s">
        <v>749</v>
      </c>
      <c r="E24" s="91"/>
    </row>
    <row r="25" spans="1:24" s="88" customFormat="1" x14ac:dyDescent="0.2">
      <c r="A25" s="96"/>
      <c r="B25" s="97"/>
      <c r="C25" s="98"/>
      <c r="E25" s="201" t="str">
        <f t="shared" ref="E25:X25" si="7" xml:space="preserve"> E$20</f>
        <v>Payments after abatements and deferrals and other bespoke adjustments - business retail</v>
      </c>
      <c r="F25" s="201">
        <f t="shared" si="7"/>
        <v>0</v>
      </c>
      <c r="G25" s="201" t="str">
        <f t="shared" si="7"/>
        <v>£m (2017-18 FYA CPIH prices)</v>
      </c>
      <c r="H25" s="201">
        <f t="shared" si="7"/>
        <v>0</v>
      </c>
      <c r="I25" s="201">
        <f t="shared" si="7"/>
        <v>0</v>
      </c>
      <c r="J25" s="201">
        <f t="shared" si="7"/>
        <v>0</v>
      </c>
      <c r="K25" s="201">
        <f t="shared" si="7"/>
        <v>0</v>
      </c>
      <c r="L25" s="201">
        <f t="shared" si="7"/>
        <v>0</v>
      </c>
      <c r="M25" s="201">
        <f t="shared" si="7"/>
        <v>0</v>
      </c>
      <c r="N25" s="201">
        <f t="shared" si="7"/>
        <v>0</v>
      </c>
      <c r="O25" s="201">
        <f t="shared" si="7"/>
        <v>0</v>
      </c>
      <c r="P25" s="201">
        <f t="shared" si="7"/>
        <v>0</v>
      </c>
      <c r="Q25" s="201">
        <f t="shared" si="7"/>
        <v>0</v>
      </c>
      <c r="R25" s="201">
        <f t="shared" si="7"/>
        <v>0</v>
      </c>
      <c r="S25" s="201">
        <f t="shared" si="7"/>
        <v>0</v>
      </c>
      <c r="T25" s="201">
        <f t="shared" si="7"/>
        <v>0</v>
      </c>
      <c r="U25" s="201">
        <f t="shared" si="7"/>
        <v>0</v>
      </c>
      <c r="V25" s="201">
        <f t="shared" si="7"/>
        <v>0</v>
      </c>
      <c r="W25" s="201">
        <f t="shared" si="7"/>
        <v>0</v>
      </c>
      <c r="X25" s="201">
        <f t="shared" si="7"/>
        <v>0</v>
      </c>
    </row>
    <row r="26" spans="1:24" s="86" customFormat="1" x14ac:dyDescent="0.2">
      <c r="A26" s="92"/>
      <c r="B26" s="93"/>
      <c r="C26" s="94"/>
      <c r="D26" s="75"/>
      <c r="E26" s="317" t="str">
        <f xml:space="preserve"> Index!E$16</f>
        <v>November CPIH cumulative inflation factor</v>
      </c>
      <c r="F26" s="317">
        <f xml:space="preserve"> Index!F$16</f>
        <v>0</v>
      </c>
      <c r="G26" s="317" t="str">
        <f xml:space="preserve"> Index!G$16</f>
        <v>Percentage</v>
      </c>
      <c r="H26" s="317">
        <f xml:space="preserve"> Index!H$16</f>
        <v>0</v>
      </c>
      <c r="I26" s="317">
        <f xml:space="preserve"> Index!I$16</f>
        <v>0</v>
      </c>
      <c r="J26" s="298">
        <f xml:space="preserve"> Index!J$16</f>
        <v>0</v>
      </c>
      <c r="K26" s="298">
        <f xml:space="preserve"> Index!K$16</f>
        <v>0</v>
      </c>
      <c r="L26" s="298">
        <f xml:space="preserve"> Index!L$16</f>
        <v>1</v>
      </c>
      <c r="M26" s="298">
        <f xml:space="preserve"> Index!M$16</f>
        <v>1</v>
      </c>
      <c r="N26" s="298">
        <f xml:space="preserve"> Index!N$16</f>
        <v>1</v>
      </c>
      <c r="O26" s="298">
        <f xml:space="preserve"> Index!O$16</f>
        <v>1</v>
      </c>
      <c r="P26" s="298">
        <f xml:space="preserve"> Index!P$16</f>
        <v>1</v>
      </c>
      <c r="Q26" s="298">
        <f xml:space="preserve"> Index!Q$16</f>
        <v>1</v>
      </c>
      <c r="R26" s="298">
        <f xml:space="preserve"> Index!R$16</f>
        <v>1</v>
      </c>
      <c r="S26" s="298">
        <f xml:space="preserve"> Index!S$16</f>
        <v>1</v>
      </c>
      <c r="T26" s="298">
        <f xml:space="preserve"> Index!T$16</f>
        <v>1</v>
      </c>
      <c r="U26" s="298">
        <f xml:space="preserve"> Index!U$16</f>
        <v>1</v>
      </c>
      <c r="V26" s="298">
        <f xml:space="preserve"> Index!V$16</f>
        <v>1</v>
      </c>
      <c r="W26" s="298">
        <f xml:space="preserve"> Index!W$16</f>
        <v>1</v>
      </c>
      <c r="X26" s="298">
        <f xml:space="preserve"> Index!X$16</f>
        <v>1</v>
      </c>
    </row>
    <row r="27" spans="1:24" s="154" customFormat="1" x14ac:dyDescent="0.2">
      <c r="A27" s="155"/>
      <c r="B27" s="156"/>
      <c r="C27" s="157"/>
      <c r="E27" s="154" t="s">
        <v>750</v>
      </c>
      <c r="G27" s="154" t="s">
        <v>602</v>
      </c>
      <c r="J27" s="154">
        <f t="shared" ref="J27:P27" si="8" xml:space="preserve"> J25 * J26</f>
        <v>0</v>
      </c>
      <c r="K27" s="154">
        <f t="shared" si="8"/>
        <v>0</v>
      </c>
      <c r="L27" s="154">
        <f t="shared" si="8"/>
        <v>0</v>
      </c>
      <c r="M27" s="154">
        <f t="shared" si="8"/>
        <v>0</v>
      </c>
      <c r="N27" s="154">
        <f t="shared" si="8"/>
        <v>0</v>
      </c>
      <c r="O27" s="154">
        <f t="shared" si="8"/>
        <v>0</v>
      </c>
      <c r="P27" s="154">
        <f t="shared" si="8"/>
        <v>0</v>
      </c>
      <c r="Q27" s="154">
        <f t="shared" ref="Q27:V27" si="9" xml:space="preserve"> Q25 * Q26</f>
        <v>0</v>
      </c>
      <c r="R27" s="154">
        <f t="shared" si="9"/>
        <v>0</v>
      </c>
      <c r="S27" s="154">
        <f t="shared" si="9"/>
        <v>0</v>
      </c>
      <c r="T27" s="154">
        <f t="shared" si="9"/>
        <v>0</v>
      </c>
      <c r="U27" s="154">
        <f t="shared" si="9"/>
        <v>0</v>
      </c>
      <c r="V27" s="154">
        <f t="shared" si="9"/>
        <v>0</v>
      </c>
      <c r="W27" s="154">
        <f t="shared" ref="W27:X27" si="10" xml:space="preserve"> W25 * W26</f>
        <v>0</v>
      </c>
      <c r="X27" s="154">
        <f t="shared" si="10"/>
        <v>0</v>
      </c>
    </row>
    <row r="28" spans="1:24" x14ac:dyDescent="0.2">
      <c r="B28" s="97"/>
      <c r="E28" s="91"/>
    </row>
    <row r="29" spans="1:24" x14ac:dyDescent="0.2">
      <c r="B29" s="97" t="s">
        <v>751</v>
      </c>
      <c r="E29" s="91"/>
    </row>
    <row r="30" spans="1:24" s="86" customFormat="1" x14ac:dyDescent="0.2">
      <c r="A30" s="92"/>
      <c r="B30" s="97"/>
      <c r="C30" s="94"/>
      <c r="D30" s="75"/>
      <c r="E30" s="317" t="str">
        <f xml:space="preserve"> InpActive!E$90</f>
        <v>Marginal tax rate</v>
      </c>
      <c r="F30" s="317">
        <f xml:space="preserve"> InpActive!F$90</f>
        <v>0</v>
      </c>
      <c r="G30" s="317" t="str">
        <f xml:space="preserve"> InpActive!G$90</f>
        <v>Percentage</v>
      </c>
      <c r="H30" s="317">
        <f xml:space="preserve"> InpActive!H$90</f>
        <v>0</v>
      </c>
      <c r="I30" s="317">
        <f xml:space="preserve"> InpActive!I$90</f>
        <v>0</v>
      </c>
      <c r="J30" s="317">
        <f xml:space="preserve"> InpActive!J$90</f>
        <v>0</v>
      </c>
      <c r="K30" s="317">
        <f xml:space="preserve"> InpActive!K$90</f>
        <v>0</v>
      </c>
      <c r="L30" s="317">
        <f xml:space="preserve"> InpActive!L$90</f>
        <v>0</v>
      </c>
      <c r="M30" s="317">
        <f xml:space="preserve"> InpActive!M$90</f>
        <v>0</v>
      </c>
      <c r="N30" s="317">
        <f xml:space="preserve"> InpActive!N$90</f>
        <v>0</v>
      </c>
      <c r="O30" s="317">
        <f xml:space="preserve"> InpActive!O$90</f>
        <v>0</v>
      </c>
      <c r="P30" s="317">
        <f xml:space="preserve"> InpActive!P$90</f>
        <v>0</v>
      </c>
      <c r="Q30" s="317">
        <f xml:space="preserve"> InpActive!Q$90</f>
        <v>0</v>
      </c>
      <c r="R30" s="317">
        <f xml:space="preserve"> InpActive!R$90</f>
        <v>0</v>
      </c>
      <c r="S30" s="317">
        <f xml:space="preserve"> InpActive!S$90</f>
        <v>0</v>
      </c>
      <c r="T30" s="317">
        <f xml:space="preserve"> InpActive!T$90</f>
        <v>0</v>
      </c>
      <c r="U30" s="317">
        <f xml:space="preserve"> InpActive!U$90</f>
        <v>0</v>
      </c>
      <c r="V30" s="317">
        <f xml:space="preserve"> InpActive!V$90</f>
        <v>0</v>
      </c>
      <c r="W30" s="317">
        <f xml:space="preserve"> InpActive!W$90</f>
        <v>0</v>
      </c>
      <c r="X30" s="317">
        <f xml:space="preserve"> InpActive!X$90</f>
        <v>0</v>
      </c>
    </row>
    <row r="31" spans="1:24" x14ac:dyDescent="0.2">
      <c r="B31" s="97"/>
      <c r="E31" s="154" t="s">
        <v>752</v>
      </c>
      <c r="G31" s="95" t="s">
        <v>583</v>
      </c>
      <c r="J31" s="95">
        <f xml:space="preserve"> 1 / ( 1 - J30 ) - 1</f>
        <v>0</v>
      </c>
      <c r="K31" s="95">
        <f t="shared" ref="K31:T31" si="11" xml:space="preserve"> 1 / ( 1 - K30 ) - 1</f>
        <v>0</v>
      </c>
      <c r="L31" s="95">
        <f t="shared" si="11"/>
        <v>0</v>
      </c>
      <c r="M31" s="95">
        <f t="shared" si="11"/>
        <v>0</v>
      </c>
      <c r="N31" s="95">
        <f t="shared" si="11"/>
        <v>0</v>
      </c>
      <c r="O31" s="95">
        <f t="shared" si="11"/>
        <v>0</v>
      </c>
      <c r="P31" s="95">
        <f t="shared" si="11"/>
        <v>0</v>
      </c>
      <c r="Q31" s="95">
        <f t="shared" si="11"/>
        <v>0</v>
      </c>
      <c r="R31" s="95">
        <f t="shared" si="11"/>
        <v>0</v>
      </c>
      <c r="S31" s="95">
        <f t="shared" si="11"/>
        <v>0</v>
      </c>
      <c r="T31" s="95">
        <f t="shared" si="11"/>
        <v>0</v>
      </c>
      <c r="U31" s="95">
        <f t="shared" ref="U31:V31" si="12" xml:space="preserve"> 1 / ( 1 - U30 ) - 1</f>
        <v>0</v>
      </c>
      <c r="V31" s="95">
        <f t="shared" si="12"/>
        <v>0</v>
      </c>
      <c r="W31" s="95">
        <f t="shared" ref="W31:X31" si="13" xml:space="preserve"> 1 / ( 1 - W30 ) - 1</f>
        <v>0</v>
      </c>
      <c r="X31" s="95">
        <f t="shared" si="13"/>
        <v>0</v>
      </c>
    </row>
    <row r="32" spans="1:24" x14ac:dyDescent="0.2">
      <c r="B32" s="97"/>
      <c r="E32" s="91"/>
    </row>
    <row r="33" spans="1:24" s="154" customFormat="1" x14ac:dyDescent="0.2">
      <c r="A33" s="155"/>
      <c r="B33" s="156"/>
      <c r="C33" s="157"/>
      <c r="E33" s="154" t="str">
        <f xml:space="preserve"> E$27</f>
        <v>ODI value nominal prices</v>
      </c>
      <c r="G33" s="154" t="str">
        <f xml:space="preserve"> G$27</f>
        <v>£m (nominal)</v>
      </c>
      <c r="H33" s="154">
        <f t="shared" ref="H33:X33" si="14" xml:space="preserve"> H$27</f>
        <v>0</v>
      </c>
      <c r="I33" s="154">
        <f t="shared" si="14"/>
        <v>0</v>
      </c>
      <c r="J33" s="154">
        <f t="shared" si="14"/>
        <v>0</v>
      </c>
      <c r="K33" s="154">
        <f t="shared" si="14"/>
        <v>0</v>
      </c>
      <c r="L33" s="154">
        <f t="shared" si="14"/>
        <v>0</v>
      </c>
      <c r="M33" s="154">
        <f t="shared" si="14"/>
        <v>0</v>
      </c>
      <c r="N33" s="154">
        <f t="shared" si="14"/>
        <v>0</v>
      </c>
      <c r="O33" s="154">
        <f t="shared" si="14"/>
        <v>0</v>
      </c>
      <c r="P33" s="154">
        <f t="shared" si="14"/>
        <v>0</v>
      </c>
      <c r="Q33" s="154">
        <f t="shared" si="14"/>
        <v>0</v>
      </c>
      <c r="R33" s="154">
        <f t="shared" si="14"/>
        <v>0</v>
      </c>
      <c r="S33" s="154">
        <f t="shared" si="14"/>
        <v>0</v>
      </c>
      <c r="T33" s="154">
        <f t="shared" si="14"/>
        <v>0</v>
      </c>
      <c r="U33" s="154">
        <f t="shared" si="14"/>
        <v>0</v>
      </c>
      <c r="V33" s="154">
        <f t="shared" si="14"/>
        <v>0</v>
      </c>
      <c r="W33" s="154">
        <f t="shared" si="14"/>
        <v>0</v>
      </c>
      <c r="X33" s="154">
        <f t="shared" si="14"/>
        <v>0</v>
      </c>
    </row>
    <row r="34" spans="1:24" s="95" customFormat="1" x14ac:dyDescent="0.2">
      <c r="A34" s="194"/>
      <c r="B34" s="195"/>
      <c r="E34" s="95" t="str">
        <f xml:space="preserve"> E$31</f>
        <v>Tax on Tax geometric uplift</v>
      </c>
      <c r="F34" s="95">
        <f t="shared" ref="F34:X34" si="15" xml:space="preserve"> F$31</f>
        <v>0</v>
      </c>
      <c r="G34" s="95" t="str">
        <f t="shared" si="15"/>
        <v>Percentage</v>
      </c>
      <c r="H34" s="95">
        <f t="shared" si="15"/>
        <v>0</v>
      </c>
      <c r="I34" s="95">
        <f t="shared" si="15"/>
        <v>0</v>
      </c>
      <c r="J34" s="95">
        <f t="shared" si="15"/>
        <v>0</v>
      </c>
      <c r="K34" s="95">
        <f t="shared" si="15"/>
        <v>0</v>
      </c>
      <c r="L34" s="95">
        <f t="shared" si="15"/>
        <v>0</v>
      </c>
      <c r="M34" s="95">
        <f t="shared" si="15"/>
        <v>0</v>
      </c>
      <c r="N34" s="95">
        <f t="shared" si="15"/>
        <v>0</v>
      </c>
      <c r="O34" s="95">
        <f t="shared" si="15"/>
        <v>0</v>
      </c>
      <c r="P34" s="95">
        <f t="shared" si="15"/>
        <v>0</v>
      </c>
      <c r="Q34" s="95">
        <f t="shared" si="15"/>
        <v>0</v>
      </c>
      <c r="R34" s="95">
        <f t="shared" si="15"/>
        <v>0</v>
      </c>
      <c r="S34" s="95">
        <f t="shared" si="15"/>
        <v>0</v>
      </c>
      <c r="T34" s="95">
        <f t="shared" si="15"/>
        <v>0</v>
      </c>
      <c r="U34" s="95">
        <f t="shared" si="15"/>
        <v>0</v>
      </c>
      <c r="V34" s="95">
        <f t="shared" si="15"/>
        <v>0</v>
      </c>
      <c r="W34" s="95">
        <f t="shared" si="15"/>
        <v>0</v>
      </c>
      <c r="X34" s="95">
        <f t="shared" si="15"/>
        <v>0</v>
      </c>
    </row>
    <row r="35" spans="1:24" s="154" customFormat="1" x14ac:dyDescent="0.2">
      <c r="A35" s="155"/>
      <c r="B35" s="156"/>
      <c r="C35" s="157"/>
      <c r="E35" s="154" t="s">
        <v>753</v>
      </c>
      <c r="G35" s="154" t="s">
        <v>602</v>
      </c>
      <c r="H35" s="154">
        <f xml:space="preserve"> SUM( J35:T35 )</f>
        <v>0</v>
      </c>
      <c r="J35" s="154">
        <f t="shared" ref="J35:T35" si="16" xml:space="preserve"> J33 * J34</f>
        <v>0</v>
      </c>
      <c r="K35" s="154">
        <f t="shared" si="16"/>
        <v>0</v>
      </c>
      <c r="L35" s="154">
        <f t="shared" si="16"/>
        <v>0</v>
      </c>
      <c r="M35" s="154">
        <f t="shared" si="16"/>
        <v>0</v>
      </c>
      <c r="N35" s="154">
        <f t="shared" si="16"/>
        <v>0</v>
      </c>
      <c r="O35" s="154">
        <f t="shared" si="16"/>
        <v>0</v>
      </c>
      <c r="P35" s="154">
        <f t="shared" si="16"/>
        <v>0</v>
      </c>
      <c r="Q35" s="154">
        <f t="shared" si="16"/>
        <v>0</v>
      </c>
      <c r="R35" s="154">
        <f t="shared" si="16"/>
        <v>0</v>
      </c>
      <c r="S35" s="154">
        <f t="shared" si="16"/>
        <v>0</v>
      </c>
      <c r="T35" s="154">
        <f t="shared" si="16"/>
        <v>0</v>
      </c>
      <c r="U35" s="154">
        <f t="shared" ref="U35:V35" si="17" xml:space="preserve"> U33 * U34</f>
        <v>0</v>
      </c>
      <c r="V35" s="154">
        <f t="shared" si="17"/>
        <v>0</v>
      </c>
      <c r="W35" s="154">
        <f t="shared" ref="W35:X35" si="18" xml:space="preserve"> W33 * W34</f>
        <v>0</v>
      </c>
      <c r="X35" s="154">
        <f t="shared" si="18"/>
        <v>0</v>
      </c>
    </row>
    <row r="36" spans="1:24" s="154" customFormat="1" x14ac:dyDescent="0.2">
      <c r="A36" s="155"/>
      <c r="B36" s="156"/>
      <c r="C36" s="157"/>
    </row>
    <row r="37" spans="1:24" s="154" customFormat="1" x14ac:dyDescent="0.2">
      <c r="A37" s="155"/>
      <c r="B37" s="156"/>
      <c r="C37" s="157"/>
      <c r="E37" s="154" t="str">
        <f xml:space="preserve"> E$27</f>
        <v>ODI value nominal prices</v>
      </c>
      <c r="F37" s="154">
        <f t="shared" ref="F37:X37" si="19" xml:space="preserve"> F$27</f>
        <v>0</v>
      </c>
      <c r="G37" s="154" t="str">
        <f t="shared" si="19"/>
        <v>£m (nominal)</v>
      </c>
      <c r="H37" s="154">
        <f t="shared" si="19"/>
        <v>0</v>
      </c>
      <c r="I37" s="154">
        <f t="shared" si="19"/>
        <v>0</v>
      </c>
      <c r="J37" s="154">
        <f t="shared" si="19"/>
        <v>0</v>
      </c>
      <c r="K37" s="154">
        <f t="shared" si="19"/>
        <v>0</v>
      </c>
      <c r="L37" s="154">
        <f t="shared" si="19"/>
        <v>0</v>
      </c>
      <c r="M37" s="154">
        <f t="shared" si="19"/>
        <v>0</v>
      </c>
      <c r="N37" s="154">
        <f t="shared" si="19"/>
        <v>0</v>
      </c>
      <c r="O37" s="154">
        <f t="shared" si="19"/>
        <v>0</v>
      </c>
      <c r="P37" s="154">
        <f t="shared" si="19"/>
        <v>0</v>
      </c>
      <c r="Q37" s="154">
        <f t="shared" si="19"/>
        <v>0</v>
      </c>
      <c r="R37" s="154">
        <f t="shared" si="19"/>
        <v>0</v>
      </c>
      <c r="S37" s="154">
        <f t="shared" si="19"/>
        <v>0</v>
      </c>
      <c r="T37" s="154">
        <f t="shared" si="19"/>
        <v>0</v>
      </c>
      <c r="U37" s="154">
        <f t="shared" si="19"/>
        <v>0</v>
      </c>
      <c r="V37" s="154">
        <f t="shared" si="19"/>
        <v>0</v>
      </c>
      <c r="W37" s="154">
        <f t="shared" si="19"/>
        <v>0</v>
      </c>
      <c r="X37" s="154">
        <f t="shared" si="19"/>
        <v>0</v>
      </c>
    </row>
    <row r="38" spans="1:24" s="154" customFormat="1" x14ac:dyDescent="0.2">
      <c r="A38" s="155"/>
      <c r="B38" s="156"/>
      <c r="C38" s="157"/>
      <c r="E38" s="154" t="str">
        <f xml:space="preserve"> E$35</f>
        <v>Tax on nominal ODI</v>
      </c>
      <c r="F38" s="154">
        <f t="shared" ref="F38:X38" si="20" xml:space="preserve"> F$35</f>
        <v>0</v>
      </c>
      <c r="G38" s="154" t="str">
        <f t="shared" si="20"/>
        <v>£m (nominal)</v>
      </c>
      <c r="H38" s="154">
        <f t="shared" si="20"/>
        <v>0</v>
      </c>
      <c r="I38" s="154">
        <f t="shared" si="20"/>
        <v>0</v>
      </c>
      <c r="J38" s="154">
        <f t="shared" si="20"/>
        <v>0</v>
      </c>
      <c r="K38" s="154">
        <f t="shared" si="20"/>
        <v>0</v>
      </c>
      <c r="L38" s="154">
        <f t="shared" si="20"/>
        <v>0</v>
      </c>
      <c r="M38" s="154">
        <f t="shared" si="20"/>
        <v>0</v>
      </c>
      <c r="N38" s="154">
        <f t="shared" si="20"/>
        <v>0</v>
      </c>
      <c r="O38" s="154">
        <f t="shared" si="20"/>
        <v>0</v>
      </c>
      <c r="P38" s="154">
        <f t="shared" si="20"/>
        <v>0</v>
      </c>
      <c r="Q38" s="154">
        <f t="shared" si="20"/>
        <v>0</v>
      </c>
      <c r="R38" s="154">
        <f t="shared" si="20"/>
        <v>0</v>
      </c>
      <c r="S38" s="154">
        <f t="shared" si="20"/>
        <v>0</v>
      </c>
      <c r="T38" s="154">
        <f t="shared" si="20"/>
        <v>0</v>
      </c>
      <c r="U38" s="154">
        <f t="shared" si="20"/>
        <v>0</v>
      </c>
      <c r="V38" s="154">
        <f t="shared" si="20"/>
        <v>0</v>
      </c>
      <c r="W38" s="154">
        <f t="shared" si="20"/>
        <v>0</v>
      </c>
      <c r="X38" s="154">
        <f t="shared" si="20"/>
        <v>0</v>
      </c>
    </row>
    <row r="39" spans="1:24" s="154" customFormat="1" x14ac:dyDescent="0.2">
      <c r="A39" s="155"/>
      <c r="B39" s="156"/>
      <c r="C39" s="157"/>
      <c r="E39" s="154" t="s">
        <v>754</v>
      </c>
      <c r="G39" s="154" t="s">
        <v>602</v>
      </c>
      <c r="H39" s="154">
        <f xml:space="preserve"> SUM( J39:T39 )</f>
        <v>0</v>
      </c>
      <c r="J39" s="162">
        <f xml:space="preserve"> J37 + J38</f>
        <v>0</v>
      </c>
      <c r="K39" s="162">
        <f t="shared" ref="K39:T39" si="21" xml:space="preserve"> K37 + K38</f>
        <v>0</v>
      </c>
      <c r="L39" s="162">
        <f t="shared" si="21"/>
        <v>0</v>
      </c>
      <c r="M39" s="162">
        <f t="shared" si="21"/>
        <v>0</v>
      </c>
      <c r="N39" s="162">
        <f t="shared" si="21"/>
        <v>0</v>
      </c>
      <c r="O39" s="162">
        <f t="shared" si="21"/>
        <v>0</v>
      </c>
      <c r="P39" s="162">
        <f t="shared" si="21"/>
        <v>0</v>
      </c>
      <c r="Q39" s="162">
        <f t="shared" si="21"/>
        <v>0</v>
      </c>
      <c r="R39" s="162">
        <f t="shared" si="21"/>
        <v>0</v>
      </c>
      <c r="S39" s="162">
        <f t="shared" si="21"/>
        <v>0</v>
      </c>
      <c r="T39" s="162">
        <f t="shared" si="21"/>
        <v>0</v>
      </c>
      <c r="U39" s="162">
        <f t="shared" ref="U39:V39" si="22" xml:space="preserve"> U37 + U38</f>
        <v>0</v>
      </c>
      <c r="V39" s="162">
        <f t="shared" si="22"/>
        <v>0</v>
      </c>
      <c r="W39" s="162">
        <f t="shared" ref="W39:X39" si="23" xml:space="preserve"> W37 + W38</f>
        <v>0</v>
      </c>
      <c r="X39" s="162">
        <f t="shared" si="23"/>
        <v>0</v>
      </c>
    </row>
    <row r="40" spans="1:24" x14ac:dyDescent="0.2">
      <c r="B40" s="97"/>
      <c r="E40" s="91"/>
      <c r="H40" s="88"/>
      <c r="I40" s="88"/>
    </row>
    <row r="41" spans="1:24" x14ac:dyDescent="0.2">
      <c r="B41" s="97"/>
      <c r="E41" s="201" t="str">
        <f t="shared" ref="E41:X41" si="24" xml:space="preserve"> E$39</f>
        <v xml:space="preserve">Total value of ODI </v>
      </c>
      <c r="F41" s="201">
        <f t="shared" si="24"/>
        <v>0</v>
      </c>
      <c r="G41" s="201" t="str">
        <f t="shared" si="24"/>
        <v>£m (nominal)</v>
      </c>
      <c r="H41" s="201">
        <f t="shared" si="24"/>
        <v>0</v>
      </c>
      <c r="I41" s="201">
        <f t="shared" si="24"/>
        <v>0</v>
      </c>
      <c r="J41" s="201">
        <f t="shared" si="24"/>
        <v>0</v>
      </c>
      <c r="K41" s="201">
        <f t="shared" si="24"/>
        <v>0</v>
      </c>
      <c r="L41" s="201">
        <f t="shared" si="24"/>
        <v>0</v>
      </c>
      <c r="M41" s="201">
        <f t="shared" si="24"/>
        <v>0</v>
      </c>
      <c r="N41" s="201">
        <f t="shared" si="24"/>
        <v>0</v>
      </c>
      <c r="O41" s="201">
        <f t="shared" si="24"/>
        <v>0</v>
      </c>
      <c r="P41" s="201">
        <f t="shared" si="24"/>
        <v>0</v>
      </c>
      <c r="Q41" s="201">
        <f t="shared" si="24"/>
        <v>0</v>
      </c>
      <c r="R41" s="201">
        <f t="shared" si="24"/>
        <v>0</v>
      </c>
      <c r="S41" s="201">
        <f t="shared" si="24"/>
        <v>0</v>
      </c>
      <c r="T41" s="201">
        <f t="shared" si="24"/>
        <v>0</v>
      </c>
      <c r="U41" s="201">
        <f t="shared" si="24"/>
        <v>0</v>
      </c>
      <c r="V41" s="201">
        <f t="shared" si="24"/>
        <v>0</v>
      </c>
      <c r="W41" s="201">
        <f t="shared" si="24"/>
        <v>0</v>
      </c>
      <c r="X41" s="201">
        <f t="shared" si="24"/>
        <v>0</v>
      </c>
    </row>
    <row r="42" spans="1:24" x14ac:dyDescent="0.2">
      <c r="B42" s="97"/>
      <c r="E42" s="91"/>
      <c r="F42" s="91"/>
      <c r="G42" s="91"/>
      <c r="H42" s="91"/>
      <c r="I42" s="91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</row>
    <row r="43" spans="1:24" x14ac:dyDescent="0.2">
      <c r="B43" s="97"/>
      <c r="E43" s="317" t="str">
        <f>InpActive!E133</f>
        <v>Proportion of costs - tariff band 1</v>
      </c>
      <c r="F43" s="317">
        <f>InpActive!F133</f>
        <v>0</v>
      </c>
      <c r="G43" s="317" t="str">
        <f>InpActive!G133</f>
        <v>%</v>
      </c>
      <c r="H43" s="317">
        <f>InpActive!H133</f>
        <v>0</v>
      </c>
      <c r="I43" s="317">
        <f>InpActive!I133</f>
        <v>0</v>
      </c>
      <c r="J43" s="317">
        <f>InpActive!J133</f>
        <v>0</v>
      </c>
      <c r="K43" s="317">
        <f>InpActive!K133</f>
        <v>0</v>
      </c>
      <c r="L43" s="317">
        <f>InpActive!L133</f>
        <v>0</v>
      </c>
      <c r="M43" s="317">
        <f>InpActive!M133</f>
        <v>0</v>
      </c>
      <c r="N43" s="317">
        <f>InpActive!N133</f>
        <v>0</v>
      </c>
      <c r="O43" s="317">
        <f>InpActive!O133</f>
        <v>0</v>
      </c>
      <c r="P43" s="317">
        <f>InpActive!P133</f>
        <v>0</v>
      </c>
      <c r="Q43" s="317">
        <f>InpActive!Q133</f>
        <v>0</v>
      </c>
      <c r="R43" s="317">
        <f>InpActive!R133</f>
        <v>0</v>
      </c>
      <c r="S43" s="317">
        <f>InpActive!S133</f>
        <v>0</v>
      </c>
      <c r="T43" s="317">
        <f>InpActive!T133</f>
        <v>0</v>
      </c>
      <c r="U43" s="317">
        <f>InpActive!U133</f>
        <v>0</v>
      </c>
      <c r="V43" s="317">
        <f>InpActive!V133</f>
        <v>0</v>
      </c>
      <c r="W43" s="317">
        <f>InpActive!W133</f>
        <v>0</v>
      </c>
      <c r="X43" s="317">
        <f>InpActive!X133</f>
        <v>0</v>
      </c>
    </row>
    <row r="44" spans="1:24" x14ac:dyDescent="0.2">
      <c r="B44" s="97"/>
      <c r="E44" s="317" t="str">
        <f>InpActive!E134</f>
        <v>Proportion of costs - tariff band 2</v>
      </c>
      <c r="F44" s="317">
        <f>InpActive!F134</f>
        <v>0</v>
      </c>
      <c r="G44" s="317" t="str">
        <f>InpActive!G134</f>
        <v>%</v>
      </c>
      <c r="H44" s="317">
        <f>InpActive!H134</f>
        <v>0</v>
      </c>
      <c r="I44" s="317">
        <f>InpActive!I134</f>
        <v>0</v>
      </c>
      <c r="J44" s="317">
        <f>InpActive!J134</f>
        <v>0</v>
      </c>
      <c r="K44" s="317">
        <f>InpActive!K134</f>
        <v>0</v>
      </c>
      <c r="L44" s="317">
        <f>InpActive!L134</f>
        <v>0</v>
      </c>
      <c r="M44" s="317">
        <f>InpActive!M134</f>
        <v>0</v>
      </c>
      <c r="N44" s="317">
        <f>InpActive!N134</f>
        <v>0</v>
      </c>
      <c r="O44" s="317">
        <f>InpActive!O134</f>
        <v>0</v>
      </c>
      <c r="P44" s="317">
        <f>InpActive!P134</f>
        <v>0</v>
      </c>
      <c r="Q44" s="317">
        <f>InpActive!Q134</f>
        <v>0</v>
      </c>
      <c r="R44" s="317">
        <f>InpActive!R134</f>
        <v>0</v>
      </c>
      <c r="S44" s="317">
        <f>InpActive!S134</f>
        <v>0</v>
      </c>
      <c r="T44" s="317">
        <f>InpActive!T134</f>
        <v>0</v>
      </c>
      <c r="U44" s="317">
        <f>InpActive!U134</f>
        <v>0</v>
      </c>
      <c r="V44" s="317">
        <f>InpActive!V134</f>
        <v>0</v>
      </c>
      <c r="W44" s="317">
        <f>InpActive!W134</f>
        <v>0</v>
      </c>
      <c r="X44" s="317">
        <f>InpActive!X134</f>
        <v>0</v>
      </c>
    </row>
    <row r="45" spans="1:24" x14ac:dyDescent="0.2">
      <c r="B45" s="97"/>
      <c r="E45" s="201" t="str">
        <f>E$41</f>
        <v xml:space="preserve">Total value of ODI </v>
      </c>
      <c r="F45" s="201">
        <f>F$41</f>
        <v>0</v>
      </c>
      <c r="G45" s="201" t="str">
        <f>G$41</f>
        <v>£m (nominal)</v>
      </c>
      <c r="H45" s="201">
        <f t="shared" ref="H45:X45" si="25">H$41</f>
        <v>0</v>
      </c>
      <c r="I45" s="201">
        <f t="shared" si="25"/>
        <v>0</v>
      </c>
      <c r="J45" s="201">
        <f t="shared" si="25"/>
        <v>0</v>
      </c>
      <c r="K45" s="201">
        <f t="shared" si="25"/>
        <v>0</v>
      </c>
      <c r="L45" s="201">
        <f t="shared" si="25"/>
        <v>0</v>
      </c>
      <c r="M45" s="201">
        <f t="shared" si="25"/>
        <v>0</v>
      </c>
      <c r="N45" s="201">
        <f t="shared" si="25"/>
        <v>0</v>
      </c>
      <c r="O45" s="201">
        <f t="shared" si="25"/>
        <v>0</v>
      </c>
      <c r="P45" s="201">
        <f t="shared" si="25"/>
        <v>0</v>
      </c>
      <c r="Q45" s="201">
        <f t="shared" si="25"/>
        <v>0</v>
      </c>
      <c r="R45" s="201">
        <f t="shared" si="25"/>
        <v>0</v>
      </c>
      <c r="S45" s="201">
        <f t="shared" si="25"/>
        <v>0</v>
      </c>
      <c r="T45" s="201">
        <f t="shared" si="25"/>
        <v>0</v>
      </c>
      <c r="U45" s="201">
        <f t="shared" si="25"/>
        <v>0</v>
      </c>
      <c r="V45" s="201">
        <f t="shared" si="25"/>
        <v>0</v>
      </c>
      <c r="W45" s="201">
        <f t="shared" si="25"/>
        <v>0</v>
      </c>
      <c r="X45" s="201">
        <f t="shared" si="25"/>
        <v>0</v>
      </c>
    </row>
    <row r="46" spans="1:24" x14ac:dyDescent="0.2">
      <c r="B46" s="97"/>
      <c r="E46" s="91" t="s">
        <v>770</v>
      </c>
      <c r="F46" s="91"/>
      <c r="G46" s="201" t="str">
        <f t="shared" ref="G46:G47" si="26">G$41</f>
        <v>£m (nominal)</v>
      </c>
      <c r="H46" s="91"/>
      <c r="I46" s="91"/>
      <c r="J46" s="89">
        <f t="shared" ref="J46:X46" si="27" xml:space="preserve"> J$45 * J43</f>
        <v>0</v>
      </c>
      <c r="K46" s="89">
        <f t="shared" si="27"/>
        <v>0</v>
      </c>
      <c r="L46" s="89">
        <f t="shared" si="27"/>
        <v>0</v>
      </c>
      <c r="M46" s="89">
        <f t="shared" si="27"/>
        <v>0</v>
      </c>
      <c r="N46" s="89">
        <f t="shared" si="27"/>
        <v>0</v>
      </c>
      <c r="O46" s="89">
        <f t="shared" si="27"/>
        <v>0</v>
      </c>
      <c r="P46" s="89">
        <f t="shared" si="27"/>
        <v>0</v>
      </c>
      <c r="Q46" s="89">
        <f t="shared" si="27"/>
        <v>0</v>
      </c>
      <c r="R46" s="89">
        <f t="shared" si="27"/>
        <v>0</v>
      </c>
      <c r="S46" s="89">
        <f t="shared" si="27"/>
        <v>0</v>
      </c>
      <c r="T46" s="89">
        <f t="shared" si="27"/>
        <v>0</v>
      </c>
      <c r="U46" s="89">
        <f t="shared" si="27"/>
        <v>0</v>
      </c>
      <c r="V46" s="89">
        <f t="shared" si="27"/>
        <v>0</v>
      </c>
      <c r="W46" s="89">
        <f t="shared" si="27"/>
        <v>0</v>
      </c>
      <c r="X46" s="89">
        <f t="shared" si="27"/>
        <v>0</v>
      </c>
    </row>
    <row r="47" spans="1:24" x14ac:dyDescent="0.2">
      <c r="B47" s="97"/>
      <c r="E47" s="91" t="s">
        <v>771</v>
      </c>
      <c r="F47" s="91"/>
      <c r="G47" s="201" t="str">
        <f t="shared" si="26"/>
        <v>£m (nominal)</v>
      </c>
      <c r="H47" s="91"/>
      <c r="I47" s="91"/>
      <c r="J47" s="89">
        <f t="shared" ref="J47:X47" si="28" xml:space="preserve"> J$45 * J44</f>
        <v>0</v>
      </c>
      <c r="K47" s="89">
        <f t="shared" si="28"/>
        <v>0</v>
      </c>
      <c r="L47" s="89">
        <f t="shared" si="28"/>
        <v>0</v>
      </c>
      <c r="M47" s="89">
        <f t="shared" si="28"/>
        <v>0</v>
      </c>
      <c r="N47" s="89">
        <f t="shared" si="28"/>
        <v>0</v>
      </c>
      <c r="O47" s="89">
        <f t="shared" si="28"/>
        <v>0</v>
      </c>
      <c r="P47" s="89">
        <f t="shared" si="28"/>
        <v>0</v>
      </c>
      <c r="Q47" s="89">
        <f t="shared" si="28"/>
        <v>0</v>
      </c>
      <c r="R47" s="89">
        <f t="shared" si="28"/>
        <v>0</v>
      </c>
      <c r="S47" s="89">
        <f t="shared" si="28"/>
        <v>0</v>
      </c>
      <c r="T47" s="89">
        <f t="shared" si="28"/>
        <v>0</v>
      </c>
      <c r="U47" s="89">
        <f t="shared" si="28"/>
        <v>0</v>
      </c>
      <c r="V47" s="89">
        <f t="shared" si="28"/>
        <v>0</v>
      </c>
      <c r="W47" s="89">
        <f t="shared" si="28"/>
        <v>0</v>
      </c>
      <c r="X47" s="89">
        <f t="shared" si="28"/>
        <v>0</v>
      </c>
    </row>
    <row r="48" spans="1:24" x14ac:dyDescent="0.2">
      <c r="B48" s="97"/>
      <c r="E48" s="91"/>
      <c r="F48" s="91"/>
      <c r="G48" s="201"/>
      <c r="H48" s="91"/>
      <c r="I48" s="91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</row>
    <row r="49" spans="1:24" x14ac:dyDescent="0.2">
      <c r="B49" s="97"/>
      <c r="E49" s="85" t="str">
        <f>InpActive!E16</f>
        <v>Thousands in a million</v>
      </c>
      <c r="F49" s="85">
        <f>InpActive!F16</f>
        <v>1000</v>
      </c>
      <c r="G49" s="85" t="str">
        <f>InpActive!G16</f>
        <v>unit</v>
      </c>
      <c r="H49" s="91"/>
      <c r="I49" s="91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</row>
    <row r="50" spans="1:24" x14ac:dyDescent="0.2">
      <c r="B50" s="97"/>
      <c r="E50" s="417" t="str">
        <f>InpActive!E136</f>
        <v>Tariff Band 1 - Number of customers - Water &lt; 50Ml - nominal</v>
      </c>
      <c r="F50" s="417">
        <f>InpActive!F136</f>
        <v>0</v>
      </c>
      <c r="G50" s="417" t="str">
        <f>InpActive!G136</f>
        <v>000s</v>
      </c>
      <c r="H50" s="417">
        <f>InpActive!H136</f>
        <v>0</v>
      </c>
      <c r="I50" s="417">
        <f>InpActive!I136</f>
        <v>0</v>
      </c>
      <c r="J50" s="417">
        <f>InpActive!J136</f>
        <v>0</v>
      </c>
      <c r="K50" s="417">
        <f>InpActive!K136</f>
        <v>0</v>
      </c>
      <c r="L50" s="417">
        <f>InpActive!L136</f>
        <v>0</v>
      </c>
      <c r="M50" s="417">
        <f>InpActive!M136</f>
        <v>0</v>
      </c>
      <c r="N50" s="417">
        <f>InpActive!N136</f>
        <v>0</v>
      </c>
      <c r="O50" s="417">
        <f>InpActive!O136</f>
        <v>0</v>
      </c>
      <c r="P50" s="417">
        <f>InpActive!P136</f>
        <v>0</v>
      </c>
      <c r="Q50" s="417">
        <f>InpActive!Q136</f>
        <v>0</v>
      </c>
      <c r="R50" s="417">
        <f>InpActive!R136</f>
        <v>0</v>
      </c>
      <c r="S50" s="417">
        <f>InpActive!S136</f>
        <v>0</v>
      </c>
      <c r="T50" s="417">
        <f>InpActive!T136</f>
        <v>0</v>
      </c>
      <c r="U50" s="417">
        <f>InpActive!U136</f>
        <v>0</v>
      </c>
      <c r="V50" s="417">
        <f>InpActive!V136</f>
        <v>0</v>
      </c>
      <c r="W50" s="417">
        <f>InpActive!W136</f>
        <v>0</v>
      </c>
      <c r="X50" s="417">
        <f>InpActive!X136</f>
        <v>0</v>
      </c>
    </row>
    <row r="51" spans="1:24" x14ac:dyDescent="0.2">
      <c r="B51" s="97"/>
      <c r="E51" s="417" t="str">
        <f>InpActive!E137</f>
        <v>Tariff Band 2 - Number of customers - Wastewater - nominal</v>
      </c>
      <c r="F51" s="417">
        <f>InpActive!F137</f>
        <v>0</v>
      </c>
      <c r="G51" s="417" t="str">
        <f>InpActive!G137</f>
        <v>000s</v>
      </c>
      <c r="H51" s="417">
        <f>InpActive!H137</f>
        <v>0</v>
      </c>
      <c r="I51" s="417">
        <f>InpActive!I137</f>
        <v>0</v>
      </c>
      <c r="J51" s="417">
        <f>InpActive!J137</f>
        <v>0</v>
      </c>
      <c r="K51" s="417">
        <f>InpActive!K137</f>
        <v>0</v>
      </c>
      <c r="L51" s="417">
        <f>InpActive!L137</f>
        <v>0</v>
      </c>
      <c r="M51" s="417">
        <f>InpActive!M137</f>
        <v>0</v>
      </c>
      <c r="N51" s="417">
        <f>InpActive!N137</f>
        <v>0</v>
      </c>
      <c r="O51" s="417">
        <f>InpActive!O137</f>
        <v>0</v>
      </c>
      <c r="P51" s="417">
        <f>InpActive!P137</f>
        <v>0</v>
      </c>
      <c r="Q51" s="417">
        <f>InpActive!Q137</f>
        <v>0</v>
      </c>
      <c r="R51" s="417">
        <f>InpActive!R137</f>
        <v>0</v>
      </c>
      <c r="S51" s="417">
        <f>InpActive!S137</f>
        <v>0</v>
      </c>
      <c r="T51" s="417">
        <f>InpActive!T137</f>
        <v>0</v>
      </c>
      <c r="U51" s="417">
        <f>InpActive!U137</f>
        <v>0</v>
      </c>
      <c r="V51" s="417">
        <f>InpActive!V137</f>
        <v>0</v>
      </c>
      <c r="W51" s="417">
        <f>InpActive!W137</f>
        <v>0</v>
      </c>
      <c r="X51" s="417">
        <f>InpActive!X137</f>
        <v>0</v>
      </c>
    </row>
    <row r="52" spans="1:24" x14ac:dyDescent="0.2">
      <c r="B52" s="97"/>
      <c r="E52" s="91" t="str">
        <f t="shared" ref="E52:X52" si="29">E46</f>
        <v>Value of ODI - tariff band 1</v>
      </c>
      <c r="F52" s="7">
        <f t="shared" si="29"/>
        <v>0</v>
      </c>
      <c r="G52" s="91" t="str">
        <f t="shared" si="29"/>
        <v>£m (nominal)</v>
      </c>
      <c r="H52" s="7">
        <f t="shared" si="29"/>
        <v>0</v>
      </c>
      <c r="I52" s="7">
        <f t="shared" si="29"/>
        <v>0</v>
      </c>
      <c r="J52" s="7">
        <f t="shared" si="29"/>
        <v>0</v>
      </c>
      <c r="K52" s="7">
        <f t="shared" si="29"/>
        <v>0</v>
      </c>
      <c r="L52" s="7">
        <f t="shared" si="29"/>
        <v>0</v>
      </c>
      <c r="M52" s="7">
        <f t="shared" si="29"/>
        <v>0</v>
      </c>
      <c r="N52" s="7">
        <f t="shared" si="29"/>
        <v>0</v>
      </c>
      <c r="O52" s="7">
        <f t="shared" si="29"/>
        <v>0</v>
      </c>
      <c r="P52" s="7">
        <f t="shared" si="29"/>
        <v>0</v>
      </c>
      <c r="Q52" s="7">
        <f t="shared" si="29"/>
        <v>0</v>
      </c>
      <c r="R52" s="7">
        <f t="shared" si="29"/>
        <v>0</v>
      </c>
      <c r="S52" s="7">
        <f t="shared" si="29"/>
        <v>0</v>
      </c>
      <c r="T52" s="7">
        <f t="shared" si="29"/>
        <v>0</v>
      </c>
      <c r="U52" s="7">
        <f t="shared" si="29"/>
        <v>0</v>
      </c>
      <c r="V52" s="7">
        <f t="shared" si="29"/>
        <v>0</v>
      </c>
      <c r="W52" s="7">
        <f t="shared" si="29"/>
        <v>0</v>
      </c>
      <c r="X52" s="7">
        <f t="shared" si="29"/>
        <v>0</v>
      </c>
    </row>
    <row r="53" spans="1:24" x14ac:dyDescent="0.2">
      <c r="B53" s="97"/>
      <c r="E53" s="91" t="str">
        <f t="shared" ref="E53:X53" si="30">E47</f>
        <v>Value of ODI - tariff band 2</v>
      </c>
      <c r="F53" s="7">
        <f t="shared" si="30"/>
        <v>0</v>
      </c>
      <c r="G53" s="91" t="str">
        <f t="shared" si="30"/>
        <v>£m (nominal)</v>
      </c>
      <c r="H53" s="7">
        <f t="shared" si="30"/>
        <v>0</v>
      </c>
      <c r="I53" s="7">
        <f t="shared" si="30"/>
        <v>0</v>
      </c>
      <c r="J53" s="7">
        <f t="shared" si="30"/>
        <v>0</v>
      </c>
      <c r="K53" s="7">
        <f t="shared" si="30"/>
        <v>0</v>
      </c>
      <c r="L53" s="7">
        <f t="shared" si="30"/>
        <v>0</v>
      </c>
      <c r="M53" s="7">
        <f t="shared" si="30"/>
        <v>0</v>
      </c>
      <c r="N53" s="7">
        <f t="shared" si="30"/>
        <v>0</v>
      </c>
      <c r="O53" s="7">
        <f t="shared" si="30"/>
        <v>0</v>
      </c>
      <c r="P53" s="7">
        <f t="shared" si="30"/>
        <v>0</v>
      </c>
      <c r="Q53" s="7">
        <f t="shared" si="30"/>
        <v>0</v>
      </c>
      <c r="R53" s="7">
        <f t="shared" si="30"/>
        <v>0</v>
      </c>
      <c r="S53" s="7">
        <f t="shared" si="30"/>
        <v>0</v>
      </c>
      <c r="T53" s="7">
        <f t="shared" si="30"/>
        <v>0</v>
      </c>
      <c r="U53" s="7">
        <f t="shared" si="30"/>
        <v>0</v>
      </c>
      <c r="V53" s="7">
        <f t="shared" si="30"/>
        <v>0</v>
      </c>
      <c r="W53" s="7">
        <f t="shared" si="30"/>
        <v>0</v>
      </c>
      <c r="X53" s="7">
        <f t="shared" si="30"/>
        <v>0</v>
      </c>
    </row>
    <row r="54" spans="1:24" x14ac:dyDescent="0.2">
      <c r="B54" s="97"/>
      <c r="E54" s="91" t="s">
        <v>772</v>
      </c>
      <c r="F54" s="91"/>
      <c r="G54" s="91" t="s">
        <v>768</v>
      </c>
      <c r="H54" s="91"/>
      <c r="I54" s="91"/>
      <c r="J54" s="7">
        <f t="shared" ref="J54:X54" si="31">IF(J52=0,0,(J52/J50)*$F$49)</f>
        <v>0</v>
      </c>
      <c r="K54" s="7">
        <f t="shared" si="31"/>
        <v>0</v>
      </c>
      <c r="L54" s="7">
        <f t="shared" si="31"/>
        <v>0</v>
      </c>
      <c r="M54" s="7">
        <f t="shared" si="31"/>
        <v>0</v>
      </c>
      <c r="N54" s="7">
        <f t="shared" si="31"/>
        <v>0</v>
      </c>
      <c r="O54" s="7">
        <f t="shared" si="31"/>
        <v>0</v>
      </c>
      <c r="P54" s="7">
        <f t="shared" si="31"/>
        <v>0</v>
      </c>
      <c r="Q54" s="7">
        <f t="shared" si="31"/>
        <v>0</v>
      </c>
      <c r="R54" s="7">
        <f t="shared" si="31"/>
        <v>0</v>
      </c>
      <c r="S54" s="7">
        <f t="shared" si="31"/>
        <v>0</v>
      </c>
      <c r="T54" s="7">
        <f t="shared" si="31"/>
        <v>0</v>
      </c>
      <c r="U54" s="7">
        <f>IF(U52=0,0,(U52/U50)*$F$49)</f>
        <v>0</v>
      </c>
      <c r="V54" s="7">
        <f t="shared" si="31"/>
        <v>0</v>
      </c>
      <c r="W54" s="7">
        <f t="shared" si="31"/>
        <v>0</v>
      </c>
      <c r="X54" s="7">
        <f t="shared" si="31"/>
        <v>0</v>
      </c>
    </row>
    <row r="55" spans="1:24" x14ac:dyDescent="0.2">
      <c r="B55" s="97"/>
      <c r="E55" s="91" t="s">
        <v>773</v>
      </c>
      <c r="F55" s="91"/>
      <c r="G55" s="91" t="s">
        <v>768</v>
      </c>
      <c r="H55" s="91"/>
      <c r="I55" s="91"/>
      <c r="J55" s="7">
        <f t="shared" ref="J55:X55" si="32">IF(J53=0,0,(J53/J51)*$F$49)</f>
        <v>0</v>
      </c>
      <c r="K55" s="7">
        <f t="shared" si="32"/>
        <v>0</v>
      </c>
      <c r="L55" s="7">
        <f t="shared" si="32"/>
        <v>0</v>
      </c>
      <c r="M55" s="7">
        <f t="shared" si="32"/>
        <v>0</v>
      </c>
      <c r="N55" s="7">
        <f t="shared" si="32"/>
        <v>0</v>
      </c>
      <c r="O55" s="7">
        <f t="shared" si="32"/>
        <v>0</v>
      </c>
      <c r="P55" s="7">
        <f t="shared" si="32"/>
        <v>0</v>
      </c>
      <c r="Q55" s="7">
        <f t="shared" si="32"/>
        <v>0</v>
      </c>
      <c r="R55" s="7">
        <f t="shared" si="32"/>
        <v>0</v>
      </c>
      <c r="S55" s="7">
        <f t="shared" si="32"/>
        <v>0</v>
      </c>
      <c r="T55" s="7">
        <f t="shared" si="32"/>
        <v>0</v>
      </c>
      <c r="U55" s="7">
        <f t="shared" si="32"/>
        <v>0</v>
      </c>
      <c r="V55" s="7">
        <f t="shared" si="32"/>
        <v>0</v>
      </c>
      <c r="W55" s="7">
        <f t="shared" si="32"/>
        <v>0</v>
      </c>
      <c r="X55" s="7">
        <f t="shared" si="32"/>
        <v>0</v>
      </c>
    </row>
    <row r="56" spans="1:24" x14ac:dyDescent="0.2">
      <c r="B56" s="97"/>
      <c r="E56" s="91"/>
      <c r="F56" s="91"/>
      <c r="G56" s="91"/>
      <c r="H56" s="91"/>
      <c r="I56" s="91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</row>
    <row r="57" spans="1:24" s="154" customFormat="1" x14ac:dyDescent="0.2">
      <c r="A57" s="155"/>
      <c r="B57" s="156" t="s">
        <v>774</v>
      </c>
      <c r="C57" s="157"/>
    </row>
    <row r="58" spans="1:24" x14ac:dyDescent="0.2">
      <c r="B58" s="97"/>
      <c r="E58" s="417" t="str">
        <f>InpActive!E139</f>
        <v>Price Limits Business - Tariff Band - Retail cost per customer inc Margin, DPC &amp; business retail revenue adjustment - nominal (1)</v>
      </c>
      <c r="F58" s="417">
        <f>InpActive!F139</f>
        <v>0</v>
      </c>
      <c r="G58" s="417" t="str">
        <f>InpActive!G139</f>
        <v>£ / customer</v>
      </c>
      <c r="H58" s="417">
        <f>InpActive!H139</f>
        <v>0</v>
      </c>
      <c r="I58" s="417">
        <f>InpActive!I139</f>
        <v>0</v>
      </c>
      <c r="J58" s="417">
        <f>InpActive!J139</f>
        <v>0</v>
      </c>
      <c r="K58" s="417">
        <f>InpActive!K139</f>
        <v>0</v>
      </c>
      <c r="L58" s="417">
        <f>InpActive!L139</f>
        <v>0</v>
      </c>
      <c r="M58" s="417">
        <f>InpActive!M139</f>
        <v>0</v>
      </c>
      <c r="N58" s="417">
        <f>InpActive!N139</f>
        <v>0</v>
      </c>
      <c r="O58" s="417">
        <f>InpActive!O139</f>
        <v>0</v>
      </c>
      <c r="P58" s="417">
        <f>InpActive!P139</f>
        <v>0</v>
      </c>
      <c r="Q58" s="417">
        <f>InpActive!Q139</f>
        <v>0</v>
      </c>
      <c r="R58" s="417">
        <f>InpActive!R139</f>
        <v>0</v>
      </c>
      <c r="S58" s="417">
        <f>InpActive!S139</f>
        <v>0</v>
      </c>
      <c r="T58" s="417">
        <f>InpActive!T139</f>
        <v>0</v>
      </c>
      <c r="U58" s="417">
        <f>InpActive!U139</f>
        <v>0</v>
      </c>
      <c r="V58" s="417">
        <f>InpActive!V139</f>
        <v>0</v>
      </c>
      <c r="W58" s="417">
        <f>InpActive!W139</f>
        <v>0</v>
      </c>
      <c r="X58" s="417">
        <f>InpActive!X139</f>
        <v>0</v>
      </c>
    </row>
    <row r="59" spans="1:24" x14ac:dyDescent="0.2">
      <c r="B59" s="97"/>
      <c r="E59" s="417" t="str">
        <f>InpActive!E140</f>
        <v>Price Limits Business - Tariff Band - Retail cost per customer inc Margin, DPC &amp; business retail revenue adjustment - nominal (2)</v>
      </c>
      <c r="F59" s="417">
        <f>InpActive!F140</f>
        <v>0</v>
      </c>
      <c r="G59" s="417" t="str">
        <f>InpActive!G140</f>
        <v>£ / customer</v>
      </c>
      <c r="H59" s="417">
        <f>InpActive!H140</f>
        <v>0</v>
      </c>
      <c r="I59" s="417">
        <f>InpActive!I140</f>
        <v>0</v>
      </c>
      <c r="J59" s="417">
        <f>InpActive!J140</f>
        <v>0</v>
      </c>
      <c r="K59" s="417">
        <f>InpActive!K140</f>
        <v>0</v>
      </c>
      <c r="L59" s="417">
        <f>InpActive!L140</f>
        <v>0</v>
      </c>
      <c r="M59" s="417">
        <f>InpActive!M140</f>
        <v>0</v>
      </c>
      <c r="N59" s="417">
        <f>InpActive!N140</f>
        <v>0</v>
      </c>
      <c r="O59" s="417">
        <f>InpActive!O140</f>
        <v>0</v>
      </c>
      <c r="P59" s="417">
        <f>InpActive!P140</f>
        <v>0</v>
      </c>
      <c r="Q59" s="417">
        <f>InpActive!Q140</f>
        <v>0</v>
      </c>
      <c r="R59" s="417">
        <f>InpActive!R140</f>
        <v>0</v>
      </c>
      <c r="S59" s="417">
        <f>InpActive!S140</f>
        <v>0</v>
      </c>
      <c r="T59" s="417">
        <f>InpActive!T140</f>
        <v>0</v>
      </c>
      <c r="U59" s="417">
        <f>InpActive!U140</f>
        <v>0</v>
      </c>
      <c r="V59" s="417">
        <f>InpActive!V140</f>
        <v>0</v>
      </c>
      <c r="W59" s="417">
        <f>InpActive!W140</f>
        <v>0</v>
      </c>
      <c r="X59" s="417">
        <f>InpActive!X140</f>
        <v>0</v>
      </c>
    </row>
    <row r="60" spans="1:24" s="154" customFormat="1" x14ac:dyDescent="0.2">
      <c r="A60" s="155"/>
      <c r="B60" s="156"/>
      <c r="C60" s="157"/>
      <c r="E60" s="154" t="str">
        <f t="shared" ref="E60:X60" si="33">E54</f>
        <v>ODI per customer tariff 1</v>
      </c>
      <c r="F60" s="154">
        <f t="shared" si="33"/>
        <v>0</v>
      </c>
      <c r="G60" s="154" t="str">
        <f t="shared" si="33"/>
        <v>£ nominal</v>
      </c>
      <c r="H60" s="154">
        <f t="shared" si="33"/>
        <v>0</v>
      </c>
      <c r="I60" s="154">
        <f t="shared" si="33"/>
        <v>0</v>
      </c>
      <c r="J60" s="154">
        <f t="shared" si="33"/>
        <v>0</v>
      </c>
      <c r="K60" s="154">
        <f t="shared" si="33"/>
        <v>0</v>
      </c>
      <c r="L60" s="154">
        <f t="shared" si="33"/>
        <v>0</v>
      </c>
      <c r="M60" s="154">
        <f t="shared" si="33"/>
        <v>0</v>
      </c>
      <c r="N60" s="154">
        <f t="shared" si="33"/>
        <v>0</v>
      </c>
      <c r="O60" s="154">
        <f t="shared" si="33"/>
        <v>0</v>
      </c>
      <c r="P60" s="154">
        <f t="shared" si="33"/>
        <v>0</v>
      </c>
      <c r="Q60" s="154">
        <f t="shared" si="33"/>
        <v>0</v>
      </c>
      <c r="R60" s="154">
        <f t="shared" si="33"/>
        <v>0</v>
      </c>
      <c r="S60" s="154">
        <f t="shared" si="33"/>
        <v>0</v>
      </c>
      <c r="T60" s="154">
        <f t="shared" si="33"/>
        <v>0</v>
      </c>
      <c r="U60" s="154">
        <f t="shared" si="33"/>
        <v>0</v>
      </c>
      <c r="V60" s="154">
        <f t="shared" si="33"/>
        <v>0</v>
      </c>
      <c r="W60" s="154">
        <f t="shared" si="33"/>
        <v>0</v>
      </c>
      <c r="X60" s="154">
        <f t="shared" si="33"/>
        <v>0</v>
      </c>
    </row>
    <row r="61" spans="1:24" s="154" customFormat="1" x14ac:dyDescent="0.2">
      <c r="A61" s="155"/>
      <c r="B61" s="156"/>
      <c r="C61" s="157"/>
      <c r="E61" s="154" t="str">
        <f t="shared" ref="E61:X61" si="34">E55</f>
        <v>ODI per customer tariff 2</v>
      </c>
      <c r="F61" s="154">
        <f t="shared" si="34"/>
        <v>0</v>
      </c>
      <c r="G61" s="154" t="str">
        <f t="shared" si="34"/>
        <v>£ nominal</v>
      </c>
      <c r="H61" s="154">
        <f t="shared" si="34"/>
        <v>0</v>
      </c>
      <c r="I61" s="154">
        <f t="shared" si="34"/>
        <v>0</v>
      </c>
      <c r="J61" s="154">
        <f t="shared" si="34"/>
        <v>0</v>
      </c>
      <c r="K61" s="154">
        <f t="shared" si="34"/>
        <v>0</v>
      </c>
      <c r="L61" s="154">
        <f t="shared" si="34"/>
        <v>0</v>
      </c>
      <c r="M61" s="154">
        <f t="shared" si="34"/>
        <v>0</v>
      </c>
      <c r="N61" s="154">
        <f t="shared" si="34"/>
        <v>0</v>
      </c>
      <c r="O61" s="154">
        <f t="shared" si="34"/>
        <v>0</v>
      </c>
      <c r="P61" s="154">
        <f t="shared" si="34"/>
        <v>0</v>
      </c>
      <c r="Q61" s="154">
        <f t="shared" si="34"/>
        <v>0</v>
      </c>
      <c r="R61" s="154">
        <f t="shared" si="34"/>
        <v>0</v>
      </c>
      <c r="S61" s="154">
        <f t="shared" si="34"/>
        <v>0</v>
      </c>
      <c r="T61" s="154">
        <f t="shared" si="34"/>
        <v>0</v>
      </c>
      <c r="U61" s="154">
        <f t="shared" si="34"/>
        <v>0</v>
      </c>
      <c r="V61" s="154">
        <f t="shared" si="34"/>
        <v>0</v>
      </c>
      <c r="W61" s="154">
        <f t="shared" si="34"/>
        <v>0</v>
      </c>
      <c r="X61" s="154">
        <f t="shared" si="34"/>
        <v>0</v>
      </c>
    </row>
    <row r="62" spans="1:24" s="178" customFormat="1" x14ac:dyDescent="0.2">
      <c r="A62" s="176"/>
      <c r="B62" s="177"/>
      <c r="E62" s="178" t="s">
        <v>322</v>
      </c>
      <c r="G62" s="178" t="s">
        <v>768</v>
      </c>
      <c r="J62" s="178">
        <f t="shared" ref="J62:X62" si="35">J58+J60</f>
        <v>0</v>
      </c>
      <c r="K62" s="178">
        <f t="shared" si="35"/>
        <v>0</v>
      </c>
      <c r="L62" s="178">
        <f t="shared" si="35"/>
        <v>0</v>
      </c>
      <c r="M62" s="178">
        <f t="shared" si="35"/>
        <v>0</v>
      </c>
      <c r="N62" s="178">
        <f t="shared" si="35"/>
        <v>0</v>
      </c>
      <c r="O62" s="178">
        <f t="shared" si="35"/>
        <v>0</v>
      </c>
      <c r="P62" s="178">
        <f t="shared" si="35"/>
        <v>0</v>
      </c>
      <c r="Q62" s="178">
        <f t="shared" si="35"/>
        <v>0</v>
      </c>
      <c r="R62" s="178">
        <f t="shared" si="35"/>
        <v>0</v>
      </c>
      <c r="S62" s="178">
        <f t="shared" si="35"/>
        <v>0</v>
      </c>
      <c r="T62" s="178">
        <f t="shared" si="35"/>
        <v>0</v>
      </c>
      <c r="U62" s="178">
        <f t="shared" si="35"/>
        <v>0</v>
      </c>
      <c r="V62" s="178">
        <f t="shared" si="35"/>
        <v>0</v>
      </c>
      <c r="W62" s="178">
        <f t="shared" si="35"/>
        <v>0</v>
      </c>
      <c r="X62" s="178">
        <f t="shared" si="35"/>
        <v>0</v>
      </c>
    </row>
    <row r="63" spans="1:24" s="178" customFormat="1" x14ac:dyDescent="0.2">
      <c r="A63" s="176"/>
      <c r="B63" s="177"/>
      <c r="E63" s="178" t="s">
        <v>775</v>
      </c>
      <c r="G63" s="178" t="s">
        <v>768</v>
      </c>
      <c r="J63" s="178">
        <f t="shared" ref="J63:X63" si="36">J59+J61</f>
        <v>0</v>
      </c>
      <c r="K63" s="178">
        <f t="shared" si="36"/>
        <v>0</v>
      </c>
      <c r="L63" s="178">
        <f t="shared" si="36"/>
        <v>0</v>
      </c>
      <c r="M63" s="178">
        <f t="shared" si="36"/>
        <v>0</v>
      </c>
      <c r="N63" s="178">
        <f t="shared" si="36"/>
        <v>0</v>
      </c>
      <c r="O63" s="178">
        <f t="shared" si="36"/>
        <v>0</v>
      </c>
      <c r="P63" s="178">
        <f t="shared" si="36"/>
        <v>0</v>
      </c>
      <c r="Q63" s="178">
        <f t="shared" si="36"/>
        <v>0</v>
      </c>
      <c r="R63" s="178">
        <f t="shared" si="36"/>
        <v>0</v>
      </c>
      <c r="S63" s="178">
        <f t="shared" si="36"/>
        <v>0</v>
      </c>
      <c r="T63" s="178">
        <f t="shared" si="36"/>
        <v>0</v>
      </c>
      <c r="U63" s="178">
        <f t="shared" si="36"/>
        <v>0</v>
      </c>
      <c r="V63" s="178">
        <f t="shared" si="36"/>
        <v>0</v>
      </c>
      <c r="W63" s="178">
        <f t="shared" si="36"/>
        <v>0</v>
      </c>
      <c r="X63" s="178">
        <f t="shared" si="36"/>
        <v>0</v>
      </c>
    </row>
    <row r="64" spans="1:24" x14ac:dyDescent="0.2">
      <c r="B64" s="97"/>
      <c r="E64" s="91"/>
    </row>
    <row r="65" spans="1:1" s="208" customFormat="1" ht="13.5" x14ac:dyDescent="0.25">
      <c r="A65" s="208" t="s">
        <v>134</v>
      </c>
    </row>
    <row r="66" spans="1:1" x14ac:dyDescent="0.2"/>
    <row r="67" spans="1:1" x14ac:dyDescent="0.2"/>
    <row r="68" spans="1:1" x14ac:dyDescent="0.2"/>
    <row r="69" spans="1:1" x14ac:dyDescent="0.2"/>
    <row r="70" spans="1:1" x14ac:dyDescent="0.2"/>
    <row r="71" spans="1:1" x14ac:dyDescent="0.2"/>
    <row r="72" spans="1:1" x14ac:dyDescent="0.2"/>
    <row r="73" spans="1:1" x14ac:dyDescent="0.2"/>
    <row r="74" spans="1:1" x14ac:dyDescent="0.2"/>
    <row r="75" spans="1:1" x14ac:dyDescent="0.2"/>
    <row r="76" spans="1:1" x14ac:dyDescent="0.2"/>
    <row r="77" spans="1:1" x14ac:dyDescent="0.2"/>
    <row r="78" spans="1:1" x14ac:dyDescent="0.2"/>
    <row r="79" spans="1:1" x14ac:dyDescent="0.2"/>
    <row r="80" spans="1:1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</sheetData>
  <phoneticPr fontId="74" type="noConversion"/>
  <conditionalFormatting sqref="J3:X3">
    <cfRule type="cellIs" dxfId="28" priority="1" operator="equal">
      <formula>"Post-Fcst"</formula>
    </cfRule>
    <cfRule type="cellIs" dxfId="27" priority="2" operator="equal">
      <formula>"Post-Fcst Mod"</formula>
    </cfRule>
    <cfRule type="cellIs" dxfId="26" priority="3" operator="equal">
      <formula>"Forecast"</formula>
    </cfRule>
    <cfRule type="cellIs" dxfId="25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  <ignoredErrors>
    <ignoredError sqref="H34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091F3-94C7-455D-B7A0-DC30CE206EAF}">
  <sheetPr>
    <tabColor theme="5"/>
    <outlinePr summaryBelow="0" summaryRight="0"/>
    <pageSetUpPr fitToPage="1"/>
  </sheetPr>
  <dimension ref="A1:X69"/>
  <sheetViews>
    <sheetView showGridLines="0" zoomScale="80" zoomScaleNormal="80" workbookViewId="0">
      <pane xSplit="9" ySplit="5" topLeftCell="J6" activePane="bottomRight" state="frozen"/>
      <selection pane="topRight" activeCell="B4" sqref="B4"/>
      <selection pane="bottomLeft" activeCell="B4" sqref="B4"/>
      <selection pane="bottomRight"/>
    </sheetView>
  </sheetViews>
  <sheetFormatPr defaultColWidth="9.625" defaultRowHeight="12.75" zeroHeight="1" x14ac:dyDescent="0.2"/>
  <cols>
    <col min="1" max="1" width="1.625" style="96" customWidth="1"/>
    <col min="2" max="2" width="1.625" style="139" customWidth="1"/>
    <col min="3" max="3" width="1.625" style="98" customWidth="1"/>
    <col min="4" max="4" width="1.625" style="88" customWidth="1"/>
    <col min="5" max="5" width="75.125" style="88" bestFit="1" customWidth="1"/>
    <col min="6" max="6" width="15.625" style="88" customWidth="1"/>
    <col min="7" max="7" width="30.625" style="88" customWidth="1"/>
    <col min="8" max="8" width="15.625" style="30" customWidth="1"/>
    <col min="9" max="9" width="2.625" style="30" customWidth="1"/>
    <col min="10" max="22" width="9.625" style="30" customWidth="1"/>
    <col min="23" max="16384" width="9.625" style="30"/>
  </cols>
  <sheetData>
    <row r="1" spans="1:24" s="103" customFormat="1" ht="44.25" x14ac:dyDescent="0.2">
      <c r="A1" s="132" t="str">
        <f ca="1" xml:space="preserve"> RIGHT(CELL("filename", $A$1), LEN(CELL("filename", $A$1)) - SEARCH("]", CELL("filename", $A$1)))</f>
        <v>Additional control 1</v>
      </c>
      <c r="B1" s="133"/>
      <c r="C1" s="134"/>
      <c r="D1" s="130"/>
      <c r="E1" s="130"/>
      <c r="F1" s="130"/>
      <c r="G1" s="130"/>
      <c r="H1" s="393" t="str">
        <f>InpActive!F9</f>
        <v>Anglian Water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4" customFormat="1" x14ac:dyDescent="0.2">
      <c r="A2" s="135"/>
      <c r="B2" s="136"/>
      <c r="C2" s="137"/>
      <c r="D2" s="138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19" customFormat="1" x14ac:dyDescent="0.2">
      <c r="A3" s="131"/>
      <c r="B3" s="136"/>
      <c r="C3" s="137"/>
      <c r="D3" s="138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8" customFormat="1" x14ac:dyDescent="0.2">
      <c r="A4" s="131"/>
      <c r="B4" s="136"/>
      <c r="C4" s="137"/>
      <c r="D4" s="138"/>
      <c r="E4" s="120" t="str">
        <f>Time!E$106</f>
        <v>Financial Year Ending</v>
      </c>
      <c r="F4" s="120"/>
      <c r="G4" s="120"/>
      <c r="H4" s="116"/>
      <c r="I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29" customFormat="1" x14ac:dyDescent="0.2">
      <c r="A5" s="131"/>
      <c r="B5" s="136"/>
      <c r="C5" s="137"/>
      <c r="D5" s="138"/>
      <c r="E5" s="120" t="str">
        <f>Time!E$10</f>
        <v>Model column counter</v>
      </c>
      <c r="F5" s="131" t="s">
        <v>532</v>
      </c>
      <c r="G5" s="131" t="s">
        <v>186</v>
      </c>
      <c r="H5" s="19" t="s">
        <v>533</v>
      </c>
      <c r="I5" s="24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29" customFormat="1" x14ac:dyDescent="0.2">
      <c r="A6" s="131"/>
      <c r="B6" s="136"/>
      <c r="C6" s="137"/>
      <c r="D6" s="138"/>
      <c r="E6" s="120"/>
      <c r="F6" s="131"/>
      <c r="G6" s="131"/>
      <c r="H6" s="19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209" customFormat="1" ht="13.5" x14ac:dyDescent="0.25">
      <c r="A7" s="209" t="s">
        <v>539</v>
      </c>
    </row>
    <row r="8" spans="1:24" x14ac:dyDescent="0.2">
      <c r="A8" s="155"/>
      <c r="B8" s="156"/>
      <c r="C8" s="157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</row>
    <row r="9" spans="1:24" s="154" customFormat="1" x14ac:dyDescent="0.2">
      <c r="A9" s="155"/>
      <c r="B9" s="156" t="s">
        <v>741</v>
      </c>
      <c r="C9" s="157"/>
    </row>
    <row r="10" spans="1:24" s="295" customFormat="1" x14ac:dyDescent="0.2">
      <c r="A10" s="345"/>
      <c r="B10" s="346"/>
      <c r="E10" s="295" t="str">
        <f xml:space="preserve"> 'Abatements and deferrals'!E$151</f>
        <v>Payments after abatements and deferrals and other bespoke adjustments - additional control 1</v>
      </c>
      <c r="F10" s="295">
        <f xml:space="preserve"> 'Abatements and deferrals'!F$151</f>
        <v>0</v>
      </c>
      <c r="G10" s="295" t="str">
        <f xml:space="preserve"> 'Abatements and deferrals'!G$151</f>
        <v>£m (2017-18 FYA CPIH prices)</v>
      </c>
      <c r="H10" s="295">
        <f xml:space="preserve"> 'Abatements and deferrals'!H$151</f>
        <v>0</v>
      </c>
      <c r="I10" s="295">
        <f xml:space="preserve"> 'Abatements and deferrals'!I$151</f>
        <v>0</v>
      </c>
    </row>
    <row r="11" spans="1:24" s="154" customFormat="1" x14ac:dyDescent="0.2">
      <c r="A11" s="155"/>
      <c r="B11" s="156"/>
      <c r="C11" s="157"/>
      <c r="E11" s="291"/>
      <c r="G11" s="291"/>
      <c r="H11" s="291"/>
    </row>
    <row r="12" spans="1:24" s="154" customFormat="1" x14ac:dyDescent="0.2">
      <c r="A12" s="155"/>
      <c r="B12" s="156" t="s">
        <v>742</v>
      </c>
      <c r="C12" s="157"/>
    </row>
    <row r="13" spans="1:24" s="154" customFormat="1" x14ac:dyDescent="0.2">
      <c r="A13" s="155"/>
      <c r="B13" s="156"/>
      <c r="C13" s="157"/>
    </row>
    <row r="14" spans="1:24" s="160" customFormat="1" x14ac:dyDescent="0.2">
      <c r="A14" s="158"/>
      <c r="B14" s="159"/>
      <c r="E14" s="295" t="str">
        <f xml:space="preserve"> InpActive!E$12</f>
        <v>Reporting year</v>
      </c>
      <c r="F14" s="295" t="str">
        <f xml:space="preserve"> InpActive!F$12</f>
        <v>2024-25</v>
      </c>
      <c r="G14" s="295" t="str">
        <f xml:space="preserve"> InpActive!G$12</f>
        <v>Financial year</v>
      </c>
    </row>
    <row r="15" spans="1:24" s="154" customFormat="1" x14ac:dyDescent="0.2">
      <c r="A15" s="155"/>
      <c r="B15" s="156"/>
      <c r="C15" s="157"/>
      <c r="E15" s="154" t="s">
        <v>743</v>
      </c>
      <c r="F15" s="215">
        <f>_xlfn.NUMBERVALUE(CONCATENATE(20,RIGHT(F14,2)))</f>
        <v>2025</v>
      </c>
    </row>
    <row r="16" spans="1:24" s="160" customFormat="1" x14ac:dyDescent="0.2">
      <c r="A16" s="158"/>
      <c r="B16" s="159"/>
      <c r="E16" s="171" t="str">
        <f xml:space="preserve"> Time!E$106</f>
        <v>Financial Year Ending</v>
      </c>
      <c r="F16" s="169">
        <f xml:space="preserve"> Time!F$106</f>
        <v>0</v>
      </c>
      <c r="G16" s="169" t="str">
        <f xml:space="preserve"> Time!G$106</f>
        <v>year #</v>
      </c>
      <c r="H16" s="169">
        <f xml:space="preserve"> Time!H$106</f>
        <v>0</v>
      </c>
      <c r="I16" s="169">
        <f xml:space="preserve"> Time!I$106</f>
        <v>0</v>
      </c>
      <c r="J16" s="214">
        <f xml:space="preserve"> Time!J$106</f>
        <v>2016</v>
      </c>
      <c r="K16" s="214">
        <f xml:space="preserve"> Time!K$106</f>
        <v>2017</v>
      </c>
      <c r="L16" s="214">
        <f xml:space="preserve"> Time!L$106</f>
        <v>2018</v>
      </c>
      <c r="M16" s="214">
        <f xml:space="preserve"> Time!M$106</f>
        <v>2019</v>
      </c>
      <c r="N16" s="214">
        <f xml:space="preserve"> Time!N$106</f>
        <v>2020</v>
      </c>
      <c r="O16" s="214">
        <f xml:space="preserve"> Time!O$106</f>
        <v>2021</v>
      </c>
      <c r="P16" s="214">
        <f xml:space="preserve"> Time!P$106</f>
        <v>2022</v>
      </c>
      <c r="Q16" s="214">
        <f xml:space="preserve"> Time!Q$106</f>
        <v>2023</v>
      </c>
      <c r="R16" s="214">
        <f xml:space="preserve"> Time!R$106</f>
        <v>2024</v>
      </c>
      <c r="S16" s="214">
        <f xml:space="preserve"> Time!S$106</f>
        <v>2025</v>
      </c>
      <c r="T16" s="214">
        <f xml:space="preserve"> Time!T$106</f>
        <v>2026</v>
      </c>
      <c r="U16" s="214">
        <f xml:space="preserve"> Time!U$106</f>
        <v>2027</v>
      </c>
      <c r="V16" s="214">
        <f xml:space="preserve"> Time!V$106</f>
        <v>2028</v>
      </c>
      <c r="W16" s="214">
        <f xml:space="preserve"> Time!W$106</f>
        <v>2029</v>
      </c>
      <c r="X16" s="214">
        <f xml:space="preserve"> Time!X$106</f>
        <v>2030</v>
      </c>
    </row>
    <row r="17" spans="1:24" s="154" customFormat="1" x14ac:dyDescent="0.2">
      <c r="A17" s="155"/>
      <c r="B17" s="156"/>
      <c r="C17" s="157"/>
      <c r="E17" s="154" t="s">
        <v>744</v>
      </c>
      <c r="G17" s="154" t="s">
        <v>644</v>
      </c>
      <c r="J17" s="170">
        <f xml:space="preserve"> IF( J16 = $F15, 1, 0 )</f>
        <v>0</v>
      </c>
      <c r="K17" s="170">
        <f t="shared" ref="K17:T17" si="0" xml:space="preserve"> IF( K16 = $F15, 1, 0 )</f>
        <v>0</v>
      </c>
      <c r="L17" s="170">
        <f t="shared" si="0"/>
        <v>0</v>
      </c>
      <c r="M17" s="170">
        <f t="shared" si="0"/>
        <v>0</v>
      </c>
      <c r="N17" s="170">
        <f t="shared" si="0"/>
        <v>0</v>
      </c>
      <c r="O17" s="170">
        <f t="shared" si="0"/>
        <v>0</v>
      </c>
      <c r="P17" s="170">
        <f t="shared" si="0"/>
        <v>0</v>
      </c>
      <c r="Q17" s="170">
        <f t="shared" si="0"/>
        <v>0</v>
      </c>
      <c r="R17" s="170">
        <f t="shared" si="0"/>
        <v>0</v>
      </c>
      <c r="S17" s="170">
        <f t="shared" si="0"/>
        <v>1</v>
      </c>
      <c r="T17" s="170">
        <f t="shared" si="0"/>
        <v>0</v>
      </c>
      <c r="U17" s="170">
        <f t="shared" ref="U17:V17" si="1" xml:space="preserve"> IF( U16 = $F15, 1, 0 )</f>
        <v>0</v>
      </c>
      <c r="V17" s="170">
        <f t="shared" si="1"/>
        <v>0</v>
      </c>
      <c r="W17" s="170">
        <f t="shared" ref="W17:X17" si="2" xml:space="preserve"> IF( W16 = $F15, 1, 0 )</f>
        <v>0</v>
      </c>
      <c r="X17" s="170">
        <f t="shared" si="2"/>
        <v>0</v>
      </c>
    </row>
    <row r="18" spans="1:24" s="154" customFormat="1" x14ac:dyDescent="0.2">
      <c r="A18" s="155"/>
      <c r="B18" s="156"/>
      <c r="C18" s="157"/>
      <c r="E18" s="154" t="s">
        <v>745</v>
      </c>
      <c r="G18" s="154" t="s">
        <v>644</v>
      </c>
      <c r="J18" s="170">
        <f xml:space="preserve"> IF( H17 = 1, 1, 0 )</f>
        <v>0</v>
      </c>
      <c r="K18" s="170">
        <f t="shared" ref="K18:U18" si="3" xml:space="preserve"> IF( I17 = 1, 1, 0 )</f>
        <v>0</v>
      </c>
      <c r="L18" s="170">
        <f t="shared" si="3"/>
        <v>0</v>
      </c>
      <c r="M18" s="170">
        <f t="shared" si="3"/>
        <v>0</v>
      </c>
      <c r="N18" s="170">
        <f t="shared" si="3"/>
        <v>0</v>
      </c>
      <c r="O18" s="170">
        <f t="shared" si="3"/>
        <v>0</v>
      </c>
      <c r="P18" s="170">
        <f t="shared" si="3"/>
        <v>0</v>
      </c>
      <c r="Q18" s="170">
        <f t="shared" si="3"/>
        <v>0</v>
      </c>
      <c r="R18" s="170">
        <f t="shared" si="3"/>
        <v>0</v>
      </c>
      <c r="S18" s="170">
        <f t="shared" si="3"/>
        <v>0</v>
      </c>
      <c r="T18" s="170">
        <f t="shared" si="3"/>
        <v>0</v>
      </c>
      <c r="U18" s="170">
        <f t="shared" si="3"/>
        <v>1</v>
      </c>
      <c r="V18" s="170">
        <f xml:space="preserve"> IF( T17 = 1, 1, 0 )</f>
        <v>0</v>
      </c>
      <c r="W18" s="170">
        <f xml:space="preserve"> IF( U17 = 1, 1, 0 )</f>
        <v>0</v>
      </c>
      <c r="X18" s="170">
        <f xml:space="preserve"> IF( V17 = 1, 1, 0 )</f>
        <v>0</v>
      </c>
    </row>
    <row r="19" spans="1:24" s="154" customFormat="1" x14ac:dyDescent="0.2">
      <c r="A19" s="155"/>
      <c r="B19" s="156"/>
      <c r="C19" s="157"/>
    </row>
    <row r="20" spans="1:24" s="154" customFormat="1" x14ac:dyDescent="0.2">
      <c r="A20" s="155"/>
      <c r="B20" s="156"/>
      <c r="C20" s="157"/>
      <c r="E20" s="291" t="str">
        <f xml:space="preserve"> E10</f>
        <v>Payments after abatements and deferrals and other bespoke adjustments - additional control 1</v>
      </c>
      <c r="G20" s="291" t="str">
        <f xml:space="preserve"> G10</f>
        <v>£m (2017-18 FYA CPIH prices)</v>
      </c>
      <c r="J20" s="291">
        <f t="shared" ref="J20:T20" si="4" xml:space="preserve"> IF( J18 = 1, $F10, 0 )</f>
        <v>0</v>
      </c>
      <c r="K20" s="291">
        <f t="shared" si="4"/>
        <v>0</v>
      </c>
      <c r="L20" s="291">
        <f t="shared" si="4"/>
        <v>0</v>
      </c>
      <c r="M20" s="291">
        <f t="shared" si="4"/>
        <v>0</v>
      </c>
      <c r="N20" s="291">
        <f t="shared" si="4"/>
        <v>0</v>
      </c>
      <c r="O20" s="291">
        <f t="shared" si="4"/>
        <v>0</v>
      </c>
      <c r="P20" s="291">
        <f t="shared" si="4"/>
        <v>0</v>
      </c>
      <c r="Q20" s="291">
        <f t="shared" si="4"/>
        <v>0</v>
      </c>
      <c r="R20" s="291">
        <f t="shared" si="4"/>
        <v>0</v>
      </c>
      <c r="S20" s="291">
        <f t="shared" si="4"/>
        <v>0</v>
      </c>
      <c r="T20" s="291">
        <f t="shared" si="4"/>
        <v>0</v>
      </c>
      <c r="U20" s="291">
        <f t="shared" ref="U20:V20" si="5" xml:space="preserve"> IF( U18 = 1, $F10, 0 )</f>
        <v>0</v>
      </c>
      <c r="V20" s="291">
        <f t="shared" si="5"/>
        <v>0</v>
      </c>
      <c r="W20" s="291">
        <f t="shared" ref="W20:X20" si="6" xml:space="preserve"> IF( W18 = 1, $F10, 0 )</f>
        <v>0</v>
      </c>
      <c r="X20" s="291">
        <f t="shared" si="6"/>
        <v>0</v>
      </c>
    </row>
    <row r="21" spans="1:24" x14ac:dyDescent="0.2">
      <c r="B21" s="97"/>
      <c r="E21" s="91"/>
    </row>
    <row r="22" spans="1:24" s="209" customFormat="1" ht="13.5" x14ac:dyDescent="0.25">
      <c r="A22" s="209" t="s">
        <v>746</v>
      </c>
    </row>
    <row r="23" spans="1:24" x14ac:dyDescent="0.2">
      <c r="B23" s="97"/>
      <c r="E23" s="91"/>
    </row>
    <row r="24" spans="1:24" x14ac:dyDescent="0.2">
      <c r="B24" s="97"/>
      <c r="E24" s="320" t="str">
        <f xml:space="preserve"> InpActive!E$143</f>
        <v>Allowed revenue starting point in FD24 - additional control 1</v>
      </c>
      <c r="F24" s="320">
        <f xml:space="preserve"> InpActive!F$143</f>
        <v>0</v>
      </c>
      <c r="G24" s="320" t="str">
        <f xml:space="preserve"> InpActive!G$143</f>
        <v>£m (nominal)</v>
      </c>
      <c r="H24" s="320">
        <f xml:space="preserve"> InpActive!H$143</f>
        <v>0</v>
      </c>
      <c r="I24" s="320">
        <f xml:space="preserve"> InpActive!I$143</f>
        <v>0</v>
      </c>
      <c r="J24" s="320">
        <f xml:space="preserve"> InpActive!J$143</f>
        <v>0</v>
      </c>
      <c r="K24" s="320">
        <f xml:space="preserve"> InpActive!K$143</f>
        <v>0</v>
      </c>
      <c r="L24" s="320">
        <f xml:space="preserve"> InpActive!L$143</f>
        <v>0</v>
      </c>
      <c r="M24" s="320">
        <f xml:space="preserve"> InpActive!M$143</f>
        <v>0</v>
      </c>
      <c r="N24" s="320">
        <f xml:space="preserve"> InpActive!N$143</f>
        <v>0</v>
      </c>
      <c r="O24" s="320">
        <f xml:space="preserve"> InpActive!O$143</f>
        <v>0</v>
      </c>
      <c r="P24" s="320">
        <f xml:space="preserve"> InpActive!P$143</f>
        <v>0</v>
      </c>
      <c r="Q24" s="320">
        <f xml:space="preserve"> InpActive!Q$143</f>
        <v>0</v>
      </c>
      <c r="R24" s="320">
        <f xml:space="preserve"> InpActive!R$143</f>
        <v>0</v>
      </c>
      <c r="S24" s="320">
        <f xml:space="preserve"> InpActive!S$143</f>
        <v>0</v>
      </c>
      <c r="T24" s="320">
        <f xml:space="preserve"> InpActive!T$143</f>
        <v>0</v>
      </c>
      <c r="U24" s="320">
        <f xml:space="preserve"> InpActive!U$143</f>
        <v>0</v>
      </c>
      <c r="V24" s="320">
        <f xml:space="preserve"> InpActive!V$143</f>
        <v>0</v>
      </c>
      <c r="W24" s="320">
        <f xml:space="preserve"> InpActive!W$143</f>
        <v>0</v>
      </c>
      <c r="X24" s="320">
        <f xml:space="preserve"> InpActive!X$143</f>
        <v>0</v>
      </c>
    </row>
    <row r="25" spans="1:24" x14ac:dyDescent="0.2">
      <c r="B25" s="97"/>
      <c r="E25" s="154" t="str">
        <f>E24</f>
        <v>Allowed revenue starting point in FD24 - additional control 1</v>
      </c>
      <c r="F25" s="91"/>
      <c r="G25" s="91"/>
      <c r="H25" s="154">
        <f xml:space="preserve"> SUM( J24:T24 )</f>
        <v>0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</row>
    <row r="26" spans="1:24" s="88" customFormat="1" x14ac:dyDescent="0.2">
      <c r="A26" s="96"/>
      <c r="B26" s="97"/>
      <c r="C26" s="98"/>
      <c r="E26" s="169" t="str">
        <f xml:space="preserve"> Time!E$45</f>
        <v>1st Forecast Period Flag</v>
      </c>
      <c r="F26" s="169"/>
      <c r="G26" s="169" t="str">
        <f xml:space="preserve"> Time!G$45</f>
        <v>flag</v>
      </c>
      <c r="H26" s="169"/>
      <c r="I26" s="169"/>
      <c r="J26" s="169">
        <f xml:space="preserve"> Time!J$45</f>
        <v>0</v>
      </c>
      <c r="K26" s="169">
        <f xml:space="preserve"> Time!K$45</f>
        <v>0</v>
      </c>
      <c r="L26" s="169">
        <f xml:space="preserve"> Time!L$45</f>
        <v>0</v>
      </c>
      <c r="M26" s="169">
        <f xml:space="preserve"> Time!M$45</f>
        <v>0</v>
      </c>
      <c r="N26" s="169">
        <f xml:space="preserve"> Time!N$45</f>
        <v>0</v>
      </c>
      <c r="O26" s="169">
        <f xml:space="preserve"> Time!O$45</f>
        <v>0</v>
      </c>
      <c r="P26" s="169">
        <f xml:space="preserve"> Time!P$45</f>
        <v>0</v>
      </c>
      <c r="Q26" s="169">
        <f xml:space="preserve"> Time!Q$45</f>
        <v>0</v>
      </c>
      <c r="R26" s="169">
        <f xml:space="preserve"> Time!R$45</f>
        <v>0</v>
      </c>
      <c r="S26" s="169">
        <f xml:space="preserve"> Time!S$45</f>
        <v>0</v>
      </c>
      <c r="T26" s="169">
        <f xml:space="preserve"> Time!T$45</f>
        <v>1</v>
      </c>
      <c r="U26" s="169">
        <f xml:space="preserve"> Time!U$45</f>
        <v>0</v>
      </c>
      <c r="V26" s="169">
        <f xml:space="preserve"> Time!V$45</f>
        <v>0</v>
      </c>
      <c r="W26" s="169">
        <f xml:space="preserve"> Time!W$45</f>
        <v>0</v>
      </c>
      <c r="X26" s="169">
        <f xml:space="preserve"> Time!X$45</f>
        <v>0</v>
      </c>
    </row>
    <row r="27" spans="1:24" s="88" customFormat="1" x14ac:dyDescent="0.2">
      <c r="A27" s="96"/>
      <c r="B27" s="97"/>
      <c r="C27" s="98"/>
      <c r="E27" s="316" t="str">
        <f xml:space="preserve"> InpActive!E$144</f>
        <v>K factors (last determined) - additional control 1</v>
      </c>
      <c r="F27" s="316">
        <f xml:space="preserve"> InpActive!F$144</f>
        <v>0</v>
      </c>
      <c r="G27" s="316" t="str">
        <f xml:space="preserve"> InpActive!G$144</f>
        <v>Number</v>
      </c>
      <c r="H27" s="316">
        <f xml:space="preserve"> InpActive!H$144</f>
        <v>0</v>
      </c>
      <c r="I27" s="316">
        <f xml:space="preserve"> InpActive!I$144</f>
        <v>0</v>
      </c>
      <c r="J27" s="295">
        <f xml:space="preserve"> InpActive!J$144</f>
        <v>0</v>
      </c>
      <c r="K27" s="295">
        <f xml:space="preserve"> InpActive!K$144</f>
        <v>0</v>
      </c>
      <c r="L27" s="295">
        <f xml:space="preserve"> InpActive!L$144</f>
        <v>0</v>
      </c>
      <c r="M27" s="295">
        <f xml:space="preserve"> InpActive!M$144</f>
        <v>0</v>
      </c>
      <c r="N27" s="295">
        <f xml:space="preserve"> InpActive!N$144</f>
        <v>0</v>
      </c>
      <c r="O27" s="295">
        <f xml:space="preserve"> InpActive!O$144</f>
        <v>0</v>
      </c>
      <c r="P27" s="295">
        <f xml:space="preserve"> InpActive!P$144</f>
        <v>0</v>
      </c>
      <c r="Q27" s="295">
        <f xml:space="preserve"> InpActive!Q$144</f>
        <v>0</v>
      </c>
      <c r="R27" s="295">
        <f xml:space="preserve"> InpActive!R$144</f>
        <v>0</v>
      </c>
      <c r="S27" s="295">
        <f xml:space="preserve"> InpActive!S$144</f>
        <v>0</v>
      </c>
      <c r="T27" s="295">
        <f xml:space="preserve"> InpActive!T$144</f>
        <v>0</v>
      </c>
      <c r="U27" s="295">
        <f xml:space="preserve"> InpActive!U$144</f>
        <v>0</v>
      </c>
      <c r="V27" s="295">
        <f xml:space="preserve"> InpActive!V$144</f>
        <v>0</v>
      </c>
      <c r="W27" s="295">
        <f xml:space="preserve"> InpActive!W$144</f>
        <v>0</v>
      </c>
      <c r="X27" s="295">
        <f xml:space="preserve"> InpActive!X$144</f>
        <v>0</v>
      </c>
    </row>
    <row r="28" spans="1:24" x14ac:dyDescent="0.2">
      <c r="B28" s="97"/>
      <c r="E28" s="95" t="s">
        <v>747</v>
      </c>
      <c r="F28" s="95"/>
      <c r="G28" s="95" t="s">
        <v>583</v>
      </c>
      <c r="H28" s="95"/>
      <c r="I28" s="95"/>
      <c r="J28" s="95">
        <f>J27/100</f>
        <v>0</v>
      </c>
      <c r="K28" s="95">
        <f t="shared" ref="K28:T28" si="7">K27/100</f>
        <v>0</v>
      </c>
      <c r="L28" s="95">
        <f t="shared" si="7"/>
        <v>0</v>
      </c>
      <c r="M28" s="95">
        <f t="shared" si="7"/>
        <v>0</v>
      </c>
      <c r="N28" s="95">
        <f t="shared" si="7"/>
        <v>0</v>
      </c>
      <c r="O28" s="95">
        <f t="shared" si="7"/>
        <v>0</v>
      </c>
      <c r="P28" s="95">
        <f t="shared" si="7"/>
        <v>0</v>
      </c>
      <c r="Q28" s="95">
        <f t="shared" si="7"/>
        <v>0</v>
      </c>
      <c r="R28" s="95">
        <f t="shared" si="7"/>
        <v>0</v>
      </c>
      <c r="S28" s="95">
        <f t="shared" si="7"/>
        <v>0</v>
      </c>
      <c r="T28" s="95">
        <f t="shared" si="7"/>
        <v>0</v>
      </c>
      <c r="U28" s="95">
        <f t="shared" ref="U28:V28" si="8">U27/100</f>
        <v>0</v>
      </c>
      <c r="V28" s="95">
        <f t="shared" si="8"/>
        <v>0</v>
      </c>
      <c r="W28" s="95">
        <f t="shared" ref="W28:X28" si="9">W27/100</f>
        <v>0</v>
      </c>
      <c r="X28" s="95">
        <f t="shared" si="9"/>
        <v>0</v>
      </c>
    </row>
    <row r="29" spans="1:24" s="86" customFormat="1" x14ac:dyDescent="0.2">
      <c r="A29" s="92"/>
      <c r="B29" s="93"/>
      <c r="C29" s="94"/>
      <c r="D29" s="75"/>
      <c r="E29" s="313" t="str">
        <f xml:space="preserve"> Index!E$12</f>
        <v>November CPIH annual inflation figures</v>
      </c>
      <c r="F29" s="313">
        <f xml:space="preserve"> Index!F$12</f>
        <v>0</v>
      </c>
      <c r="G29" s="313" t="str">
        <f xml:space="preserve"> Index!G$12</f>
        <v>Percentage</v>
      </c>
      <c r="H29" s="313">
        <f xml:space="preserve"> Index!H$12</f>
        <v>0</v>
      </c>
      <c r="I29" s="313">
        <f xml:space="preserve"> Index!I$12</f>
        <v>0</v>
      </c>
      <c r="J29" s="313">
        <f xml:space="preserve"> Index!J$12</f>
        <v>0</v>
      </c>
      <c r="K29" s="313">
        <f xml:space="preserve"> Index!K$12</f>
        <v>0</v>
      </c>
      <c r="L29" s="313">
        <f xml:space="preserve"> Index!L$12</f>
        <v>1.4955134596211339E-2</v>
      </c>
      <c r="M29" s="313">
        <f xml:space="preserve"> Index!M$12</f>
        <v>0</v>
      </c>
      <c r="N29" s="313">
        <f xml:space="preserve"> Index!N$12</f>
        <v>0</v>
      </c>
      <c r="O29" s="313">
        <f xml:space="preserve"> Index!O$12</f>
        <v>0</v>
      </c>
      <c r="P29" s="313">
        <f xml:space="preserve"> Index!P$12</f>
        <v>0</v>
      </c>
      <c r="Q29" s="313">
        <f xml:space="preserve"> Index!Q$12</f>
        <v>0</v>
      </c>
      <c r="R29" s="313">
        <f xml:space="preserve"> Index!R$12</f>
        <v>0</v>
      </c>
      <c r="S29" s="313">
        <f xml:space="preserve"> Index!S$12</f>
        <v>0</v>
      </c>
      <c r="T29" s="313">
        <f xml:space="preserve"> Index!T$12</f>
        <v>0</v>
      </c>
      <c r="U29" s="313">
        <f xml:space="preserve"> Index!U$12</f>
        <v>0</v>
      </c>
      <c r="V29" s="313">
        <f xml:space="preserve"> Index!V$12</f>
        <v>0</v>
      </c>
      <c r="W29" s="313">
        <f xml:space="preserve"> Index!W$12</f>
        <v>0</v>
      </c>
      <c r="X29" s="313">
        <f xml:space="preserve"> Index!X$12</f>
        <v>0</v>
      </c>
    </row>
    <row r="30" spans="1:24" s="91" customFormat="1" x14ac:dyDescent="0.2">
      <c r="A30" s="99"/>
      <c r="B30" s="100"/>
      <c r="C30" s="101"/>
      <c r="E30" s="154" t="s">
        <v>748</v>
      </c>
      <c r="F30" s="154"/>
      <c r="G30" s="154" t="s">
        <v>602</v>
      </c>
      <c r="H30" s="154"/>
      <c r="I30" s="154"/>
      <c r="J30" s="154">
        <f xml:space="preserve"> IF(J26=1, $H25 * (1+J29+J28), I30 *  (1+J29+J28))</f>
        <v>0</v>
      </c>
      <c r="K30" s="154">
        <f xml:space="preserve"> IF(K26=1, $H25 * (1+K29+K28), J30 *  (1+K29+K28))</f>
        <v>0</v>
      </c>
      <c r="L30" s="154">
        <f t="shared" ref="L30:U30" si="10" xml:space="preserve"> IF(L26=1, $H25 * (1+L29+L28), K30 *  (1+L29+L28))</f>
        <v>0</v>
      </c>
      <c r="M30" s="154">
        <f t="shared" si="10"/>
        <v>0</v>
      </c>
      <c r="N30" s="154">
        <f t="shared" si="10"/>
        <v>0</v>
      </c>
      <c r="O30" s="154">
        <f t="shared" si="10"/>
        <v>0</v>
      </c>
      <c r="P30" s="154">
        <f xml:space="preserve"> IF(P26=1, $H25 * (1+P29+P28), O30 *  (1+P29+P28))</f>
        <v>0</v>
      </c>
      <c r="Q30" s="154">
        <f t="shared" si="10"/>
        <v>0</v>
      </c>
      <c r="R30" s="154">
        <f t="shared" si="10"/>
        <v>0</v>
      </c>
      <c r="S30" s="154">
        <f t="shared" si="10"/>
        <v>0</v>
      </c>
      <c r="T30" s="154">
        <f t="shared" si="10"/>
        <v>0</v>
      </c>
      <c r="U30" s="154">
        <f t="shared" si="10"/>
        <v>0</v>
      </c>
      <c r="V30" s="154">
        <f xml:space="preserve"> IF(V26=1, $H25 * (1+V29+V28), U30 *  (1+V29+V28))</f>
        <v>0</v>
      </c>
      <c r="W30" s="154">
        <f xml:space="preserve"> IF(W26=1, $H25 * (1+W29+W28), V30 *  (1+W29+W28))</f>
        <v>0</v>
      </c>
      <c r="X30" s="154">
        <f xml:space="preserve"> IF(X26=1, $H25 * (1+X29+X28), W30 *  (1+X29+X28))</f>
        <v>0</v>
      </c>
    </row>
    <row r="31" spans="1:24" x14ac:dyDescent="0.2">
      <c r="B31" s="97"/>
      <c r="E31" s="91"/>
      <c r="O31" s="252"/>
      <c r="P31" s="252"/>
      <c r="Q31" s="252"/>
      <c r="R31" s="252"/>
      <c r="S31" s="252"/>
      <c r="T31" s="252"/>
      <c r="U31" s="252"/>
      <c r="V31" s="252"/>
      <c r="W31" s="252"/>
      <c r="X31" s="252"/>
    </row>
    <row r="32" spans="1:24" s="154" customFormat="1" x14ac:dyDescent="0.2">
      <c r="A32" s="155"/>
      <c r="B32" s="156" t="s">
        <v>749</v>
      </c>
      <c r="C32" s="157"/>
    </row>
    <row r="33" spans="1:24" s="154" customFormat="1" x14ac:dyDescent="0.2">
      <c r="A33" s="155"/>
      <c r="B33" s="156"/>
      <c r="E33" s="154" t="str">
        <f xml:space="preserve"> E$20</f>
        <v>Payments after abatements and deferrals and other bespoke adjustments - additional control 1</v>
      </c>
      <c r="F33" s="154">
        <f t="shared" ref="F33:X33" si="11" xml:space="preserve"> F$20</f>
        <v>0</v>
      </c>
      <c r="G33" s="154" t="str">
        <f t="shared" si="11"/>
        <v>£m (2017-18 FYA CPIH prices)</v>
      </c>
      <c r="H33" s="154">
        <f t="shared" si="11"/>
        <v>0</v>
      </c>
      <c r="I33" s="154">
        <f t="shared" si="11"/>
        <v>0</v>
      </c>
      <c r="J33" s="154">
        <f t="shared" si="11"/>
        <v>0</v>
      </c>
      <c r="K33" s="154">
        <f t="shared" si="11"/>
        <v>0</v>
      </c>
      <c r="L33" s="154">
        <f t="shared" si="11"/>
        <v>0</v>
      </c>
      <c r="M33" s="154">
        <f t="shared" si="11"/>
        <v>0</v>
      </c>
      <c r="N33" s="154">
        <f t="shared" si="11"/>
        <v>0</v>
      </c>
      <c r="O33" s="154">
        <f t="shared" si="11"/>
        <v>0</v>
      </c>
      <c r="P33" s="154">
        <f t="shared" si="11"/>
        <v>0</v>
      </c>
      <c r="Q33" s="154">
        <f t="shared" si="11"/>
        <v>0</v>
      </c>
      <c r="R33" s="154">
        <f t="shared" si="11"/>
        <v>0</v>
      </c>
      <c r="S33" s="154">
        <f t="shared" si="11"/>
        <v>0</v>
      </c>
      <c r="T33" s="154">
        <f t="shared" si="11"/>
        <v>0</v>
      </c>
      <c r="U33" s="154">
        <f t="shared" si="11"/>
        <v>0</v>
      </c>
      <c r="V33" s="154">
        <f t="shared" si="11"/>
        <v>0</v>
      </c>
      <c r="W33" s="154">
        <f t="shared" si="11"/>
        <v>0</v>
      </c>
      <c r="X33" s="154">
        <f t="shared" si="11"/>
        <v>0</v>
      </c>
    </row>
    <row r="34" spans="1:24" s="160" customFormat="1" x14ac:dyDescent="0.2">
      <c r="A34" s="158"/>
      <c r="B34" s="159"/>
      <c r="E34" s="298" t="str">
        <f xml:space="preserve"> Index!E$16</f>
        <v>November CPIH cumulative inflation factor</v>
      </c>
      <c r="F34" s="298">
        <f xml:space="preserve"> Index!F$16</f>
        <v>0</v>
      </c>
      <c r="G34" s="298" t="str">
        <f xml:space="preserve"> Index!G$16</f>
        <v>Percentage</v>
      </c>
      <c r="H34" s="298">
        <f xml:space="preserve"> Index!H$16</f>
        <v>0</v>
      </c>
      <c r="I34" s="298">
        <f xml:space="preserve"> Index!I$16</f>
        <v>0</v>
      </c>
      <c r="J34" s="298">
        <f xml:space="preserve"> Index!J$16</f>
        <v>0</v>
      </c>
      <c r="K34" s="298">
        <f xml:space="preserve"> Index!K$16</f>
        <v>0</v>
      </c>
      <c r="L34" s="298">
        <f xml:space="preserve"> Index!L$16</f>
        <v>1</v>
      </c>
      <c r="M34" s="298">
        <f xml:space="preserve"> Index!M$16</f>
        <v>1</v>
      </c>
      <c r="N34" s="298">
        <f xml:space="preserve"> Index!N$16</f>
        <v>1</v>
      </c>
      <c r="O34" s="298">
        <f xml:space="preserve"> Index!O$16</f>
        <v>1</v>
      </c>
      <c r="P34" s="298">
        <f xml:space="preserve"> Index!P$16</f>
        <v>1</v>
      </c>
      <c r="Q34" s="298">
        <f xml:space="preserve"> Index!Q$16</f>
        <v>1</v>
      </c>
      <c r="R34" s="298">
        <f xml:space="preserve"> Index!R$16</f>
        <v>1</v>
      </c>
      <c r="S34" s="298">
        <f xml:space="preserve"> Index!S$16</f>
        <v>1</v>
      </c>
      <c r="T34" s="298">
        <f xml:space="preserve"> Index!T$16</f>
        <v>1</v>
      </c>
      <c r="U34" s="298">
        <f xml:space="preserve"> Index!U$16</f>
        <v>1</v>
      </c>
      <c r="V34" s="298">
        <f xml:space="preserve"> Index!V$16</f>
        <v>1</v>
      </c>
      <c r="W34" s="298">
        <f xml:space="preserve"> Index!W$16</f>
        <v>1</v>
      </c>
      <c r="X34" s="298">
        <f xml:space="preserve"> Index!X$16</f>
        <v>1</v>
      </c>
    </row>
    <row r="35" spans="1:24" s="154" customFormat="1" x14ac:dyDescent="0.2">
      <c r="A35" s="155"/>
      <c r="B35" s="156"/>
      <c r="C35" s="157"/>
      <c r="E35" s="154" t="s">
        <v>750</v>
      </c>
      <c r="G35" s="154" t="s">
        <v>602</v>
      </c>
      <c r="H35" s="154">
        <f xml:space="preserve"> SUM( J35:T35 )</f>
        <v>0</v>
      </c>
      <c r="J35" s="154">
        <f t="shared" ref="J35:P35" si="12" xml:space="preserve"> J33 * J34</f>
        <v>0</v>
      </c>
      <c r="K35" s="154">
        <f t="shared" si="12"/>
        <v>0</v>
      </c>
      <c r="L35" s="154">
        <f t="shared" si="12"/>
        <v>0</v>
      </c>
      <c r="M35" s="154">
        <f t="shared" si="12"/>
        <v>0</v>
      </c>
      <c r="N35" s="154">
        <f t="shared" si="12"/>
        <v>0</v>
      </c>
      <c r="O35" s="154">
        <f t="shared" si="12"/>
        <v>0</v>
      </c>
      <c r="P35" s="154">
        <f t="shared" si="12"/>
        <v>0</v>
      </c>
      <c r="Q35" s="154">
        <f t="shared" ref="Q35:V35" si="13" xml:space="preserve"> Q33 * Q34</f>
        <v>0</v>
      </c>
      <c r="R35" s="154">
        <f t="shared" si="13"/>
        <v>0</v>
      </c>
      <c r="S35" s="154">
        <f t="shared" si="13"/>
        <v>0</v>
      </c>
      <c r="T35" s="154">
        <f t="shared" si="13"/>
        <v>0</v>
      </c>
      <c r="U35" s="154">
        <f t="shared" si="13"/>
        <v>0</v>
      </c>
      <c r="V35" s="154">
        <f t="shared" si="13"/>
        <v>0</v>
      </c>
      <c r="W35" s="154">
        <f t="shared" ref="W35:X35" si="14" xml:space="preserve"> W33 * W34</f>
        <v>0</v>
      </c>
      <c r="X35" s="154">
        <f t="shared" si="14"/>
        <v>0</v>
      </c>
    </row>
    <row r="36" spans="1:24" s="154" customFormat="1" x14ac:dyDescent="0.2">
      <c r="A36" s="155"/>
      <c r="B36" s="156"/>
      <c r="C36" s="157"/>
    </row>
    <row r="37" spans="1:24" s="154" customFormat="1" x14ac:dyDescent="0.2">
      <c r="A37" s="155"/>
      <c r="B37" s="156" t="s">
        <v>751</v>
      </c>
      <c r="C37" s="157"/>
    </row>
    <row r="38" spans="1:24" s="160" customFormat="1" x14ac:dyDescent="0.2">
      <c r="A38" s="158"/>
      <c r="B38" s="156"/>
      <c r="E38" s="298" t="str">
        <f xml:space="preserve"> InpActive!E$90</f>
        <v>Marginal tax rate</v>
      </c>
      <c r="F38" s="298">
        <f xml:space="preserve"> InpActive!F$90</f>
        <v>0</v>
      </c>
      <c r="G38" s="298" t="str">
        <f xml:space="preserve"> InpActive!G$90</f>
        <v>Percentage</v>
      </c>
      <c r="H38" s="298">
        <f xml:space="preserve"> InpActive!H$90</f>
        <v>0</v>
      </c>
      <c r="I38" s="298">
        <f xml:space="preserve"> InpActive!I$90</f>
        <v>0</v>
      </c>
      <c r="J38" s="298">
        <f xml:space="preserve"> InpActive!J$90</f>
        <v>0</v>
      </c>
      <c r="K38" s="298">
        <f xml:space="preserve"> InpActive!K$90</f>
        <v>0</v>
      </c>
      <c r="L38" s="298">
        <f xml:space="preserve"> InpActive!L$90</f>
        <v>0</v>
      </c>
      <c r="M38" s="298">
        <f xml:space="preserve"> InpActive!M$90</f>
        <v>0</v>
      </c>
      <c r="N38" s="298">
        <f xml:space="preserve"> InpActive!N$90</f>
        <v>0</v>
      </c>
      <c r="O38" s="298">
        <f xml:space="preserve"> InpActive!O$90</f>
        <v>0</v>
      </c>
      <c r="P38" s="298">
        <f xml:space="preserve"> InpActive!P$90</f>
        <v>0</v>
      </c>
      <c r="Q38" s="298">
        <f xml:space="preserve"> InpActive!Q$90</f>
        <v>0</v>
      </c>
      <c r="R38" s="298">
        <f xml:space="preserve"> InpActive!R$90</f>
        <v>0</v>
      </c>
      <c r="S38" s="298">
        <f xml:space="preserve"> InpActive!S$90</f>
        <v>0</v>
      </c>
      <c r="T38" s="298">
        <f xml:space="preserve"> InpActive!T$90</f>
        <v>0</v>
      </c>
      <c r="U38" s="298">
        <f xml:space="preserve"> InpActive!U$90</f>
        <v>0</v>
      </c>
      <c r="V38" s="298">
        <f xml:space="preserve"> InpActive!V$90</f>
        <v>0</v>
      </c>
      <c r="W38" s="298">
        <f xml:space="preserve"> InpActive!W$90</f>
        <v>0</v>
      </c>
      <c r="X38" s="298">
        <f xml:space="preserve"> InpActive!X$90</f>
        <v>0</v>
      </c>
    </row>
    <row r="39" spans="1:24" s="95" customFormat="1" x14ac:dyDescent="0.2">
      <c r="A39" s="194"/>
      <c r="B39" s="195"/>
      <c r="E39" s="95" t="s">
        <v>752</v>
      </c>
      <c r="G39" s="95" t="s">
        <v>583</v>
      </c>
      <c r="J39" s="95">
        <f xml:space="preserve"> 1 / (1 - J38 ) - 1</f>
        <v>0</v>
      </c>
      <c r="K39" s="95">
        <f t="shared" ref="K39:T39" si="15" xml:space="preserve"> 1 / (1 - K38 ) - 1</f>
        <v>0</v>
      </c>
      <c r="L39" s="95">
        <f t="shared" si="15"/>
        <v>0</v>
      </c>
      <c r="M39" s="95">
        <f t="shared" si="15"/>
        <v>0</v>
      </c>
      <c r="N39" s="95">
        <f t="shared" si="15"/>
        <v>0</v>
      </c>
      <c r="O39" s="95">
        <f t="shared" si="15"/>
        <v>0</v>
      </c>
      <c r="P39" s="95">
        <f t="shared" si="15"/>
        <v>0</v>
      </c>
      <c r="Q39" s="95">
        <f t="shared" si="15"/>
        <v>0</v>
      </c>
      <c r="R39" s="95">
        <f t="shared" si="15"/>
        <v>0</v>
      </c>
      <c r="S39" s="95">
        <f t="shared" si="15"/>
        <v>0</v>
      </c>
      <c r="T39" s="95">
        <f t="shared" si="15"/>
        <v>0</v>
      </c>
      <c r="U39" s="95">
        <f t="shared" ref="U39:V39" si="16" xml:space="preserve"> 1 / (1 - U38 ) - 1</f>
        <v>0</v>
      </c>
      <c r="V39" s="95">
        <f t="shared" si="16"/>
        <v>0</v>
      </c>
      <c r="W39" s="95">
        <f t="shared" ref="W39:X39" si="17" xml:space="preserve"> 1 / (1 - W38 ) - 1</f>
        <v>0</v>
      </c>
      <c r="X39" s="95">
        <f t="shared" si="17"/>
        <v>0</v>
      </c>
    </row>
    <row r="40" spans="1:24" s="154" customFormat="1" x14ac:dyDescent="0.2">
      <c r="A40" s="155"/>
      <c r="B40" s="156"/>
      <c r="C40" s="157"/>
    </row>
    <row r="41" spans="1:24" s="154" customFormat="1" x14ac:dyDescent="0.2">
      <c r="A41" s="155"/>
      <c r="B41" s="156"/>
      <c r="C41" s="157"/>
      <c r="E41" s="154" t="str">
        <f t="shared" ref="E41:X41" si="18" xml:space="preserve"> E$35</f>
        <v>ODI value nominal prices</v>
      </c>
      <c r="F41" s="154">
        <f t="shared" si="18"/>
        <v>0</v>
      </c>
      <c r="G41" s="154" t="str">
        <f t="shared" si="18"/>
        <v>£m (nominal)</v>
      </c>
      <c r="H41" s="154">
        <f t="shared" si="18"/>
        <v>0</v>
      </c>
      <c r="I41" s="154">
        <f t="shared" si="18"/>
        <v>0</v>
      </c>
      <c r="J41" s="154">
        <f t="shared" si="18"/>
        <v>0</v>
      </c>
      <c r="K41" s="154">
        <f t="shared" si="18"/>
        <v>0</v>
      </c>
      <c r="L41" s="154">
        <f t="shared" si="18"/>
        <v>0</v>
      </c>
      <c r="M41" s="154">
        <f t="shared" si="18"/>
        <v>0</v>
      </c>
      <c r="N41" s="154">
        <f t="shared" si="18"/>
        <v>0</v>
      </c>
      <c r="O41" s="154">
        <f t="shared" si="18"/>
        <v>0</v>
      </c>
      <c r="P41" s="154">
        <f t="shared" si="18"/>
        <v>0</v>
      </c>
      <c r="Q41" s="154">
        <f t="shared" si="18"/>
        <v>0</v>
      </c>
      <c r="R41" s="154">
        <f t="shared" si="18"/>
        <v>0</v>
      </c>
      <c r="S41" s="154">
        <f t="shared" si="18"/>
        <v>0</v>
      </c>
      <c r="T41" s="154">
        <f t="shared" si="18"/>
        <v>0</v>
      </c>
      <c r="U41" s="154">
        <f t="shared" si="18"/>
        <v>0</v>
      </c>
      <c r="V41" s="154">
        <f t="shared" si="18"/>
        <v>0</v>
      </c>
      <c r="W41" s="154">
        <f t="shared" si="18"/>
        <v>0</v>
      </c>
      <c r="X41" s="154">
        <f t="shared" si="18"/>
        <v>0</v>
      </c>
    </row>
    <row r="42" spans="1:24" s="95" customFormat="1" x14ac:dyDescent="0.2">
      <c r="A42" s="194"/>
      <c r="B42" s="195"/>
      <c r="E42" s="95" t="str">
        <f t="shared" ref="E42:X42" si="19" xml:space="preserve"> E$39</f>
        <v>Tax on Tax geometric uplift</v>
      </c>
      <c r="F42" s="95">
        <f t="shared" si="19"/>
        <v>0</v>
      </c>
      <c r="G42" s="95" t="str">
        <f t="shared" si="19"/>
        <v>Percentage</v>
      </c>
      <c r="H42" s="95">
        <f t="shared" si="19"/>
        <v>0</v>
      </c>
      <c r="I42" s="95">
        <f t="shared" si="19"/>
        <v>0</v>
      </c>
      <c r="J42" s="95">
        <f t="shared" si="19"/>
        <v>0</v>
      </c>
      <c r="K42" s="95">
        <f t="shared" si="19"/>
        <v>0</v>
      </c>
      <c r="L42" s="95">
        <f t="shared" si="19"/>
        <v>0</v>
      </c>
      <c r="M42" s="95">
        <f t="shared" si="19"/>
        <v>0</v>
      </c>
      <c r="N42" s="95">
        <f t="shared" si="19"/>
        <v>0</v>
      </c>
      <c r="O42" s="95">
        <f t="shared" si="19"/>
        <v>0</v>
      </c>
      <c r="P42" s="95">
        <f t="shared" si="19"/>
        <v>0</v>
      </c>
      <c r="Q42" s="95">
        <f t="shared" si="19"/>
        <v>0</v>
      </c>
      <c r="R42" s="95">
        <f t="shared" si="19"/>
        <v>0</v>
      </c>
      <c r="S42" s="95">
        <f t="shared" si="19"/>
        <v>0</v>
      </c>
      <c r="T42" s="95">
        <f t="shared" si="19"/>
        <v>0</v>
      </c>
      <c r="U42" s="95">
        <f t="shared" si="19"/>
        <v>0</v>
      </c>
      <c r="V42" s="95">
        <f t="shared" si="19"/>
        <v>0</v>
      </c>
      <c r="W42" s="95">
        <f t="shared" si="19"/>
        <v>0</v>
      </c>
      <c r="X42" s="95">
        <f t="shared" si="19"/>
        <v>0</v>
      </c>
    </row>
    <row r="43" spans="1:24" s="154" customFormat="1" x14ac:dyDescent="0.2">
      <c r="A43" s="155"/>
      <c r="B43" s="156"/>
      <c r="C43" s="157"/>
      <c r="E43" s="154" t="s">
        <v>753</v>
      </c>
      <c r="G43" s="154" t="s">
        <v>602</v>
      </c>
      <c r="H43" s="154">
        <f xml:space="preserve"> SUM( J43:T43 )</f>
        <v>0</v>
      </c>
      <c r="J43" s="154">
        <f t="shared" ref="J43:T43" si="20" xml:space="preserve"> J41 * J42</f>
        <v>0</v>
      </c>
      <c r="K43" s="154">
        <f t="shared" si="20"/>
        <v>0</v>
      </c>
      <c r="L43" s="154">
        <f t="shared" si="20"/>
        <v>0</v>
      </c>
      <c r="M43" s="154">
        <f t="shared" si="20"/>
        <v>0</v>
      </c>
      <c r="N43" s="154">
        <f t="shared" si="20"/>
        <v>0</v>
      </c>
      <c r="O43" s="154">
        <f t="shared" si="20"/>
        <v>0</v>
      </c>
      <c r="P43" s="154">
        <f t="shared" si="20"/>
        <v>0</v>
      </c>
      <c r="Q43" s="154">
        <f t="shared" si="20"/>
        <v>0</v>
      </c>
      <c r="R43" s="154">
        <f t="shared" si="20"/>
        <v>0</v>
      </c>
      <c r="S43" s="154">
        <f t="shared" si="20"/>
        <v>0</v>
      </c>
      <c r="T43" s="154">
        <f t="shared" si="20"/>
        <v>0</v>
      </c>
      <c r="U43" s="154">
        <f t="shared" ref="U43:V43" si="21" xml:space="preserve"> U41 * U42</f>
        <v>0</v>
      </c>
      <c r="V43" s="154">
        <f t="shared" si="21"/>
        <v>0</v>
      </c>
      <c r="W43" s="154">
        <f t="shared" ref="W43:X43" si="22" xml:space="preserve"> W41 * W42</f>
        <v>0</v>
      </c>
      <c r="X43" s="154">
        <f t="shared" si="22"/>
        <v>0</v>
      </c>
    </row>
    <row r="44" spans="1:24" s="154" customFormat="1" x14ac:dyDescent="0.2">
      <c r="A44" s="155"/>
      <c r="B44" s="156"/>
      <c r="C44" s="157"/>
    </row>
    <row r="45" spans="1:24" s="154" customFormat="1" x14ac:dyDescent="0.2">
      <c r="A45" s="155"/>
      <c r="B45" s="156"/>
      <c r="C45" s="157"/>
      <c r="E45" s="154" t="str">
        <f t="shared" ref="E45:X45" si="23" xml:space="preserve"> E$35</f>
        <v>ODI value nominal prices</v>
      </c>
      <c r="F45" s="154">
        <f t="shared" si="23"/>
        <v>0</v>
      </c>
      <c r="G45" s="154" t="str">
        <f t="shared" si="23"/>
        <v>£m (nominal)</v>
      </c>
      <c r="H45" s="154">
        <f t="shared" si="23"/>
        <v>0</v>
      </c>
      <c r="I45" s="154">
        <f t="shared" si="23"/>
        <v>0</v>
      </c>
      <c r="J45" s="162">
        <f t="shared" si="23"/>
        <v>0</v>
      </c>
      <c r="K45" s="162">
        <f t="shared" si="23"/>
        <v>0</v>
      </c>
      <c r="L45" s="162">
        <f t="shared" si="23"/>
        <v>0</v>
      </c>
      <c r="M45" s="162">
        <f t="shared" si="23"/>
        <v>0</v>
      </c>
      <c r="N45" s="162">
        <f t="shared" si="23"/>
        <v>0</v>
      </c>
      <c r="O45" s="162">
        <f t="shared" si="23"/>
        <v>0</v>
      </c>
      <c r="P45" s="162">
        <f t="shared" si="23"/>
        <v>0</v>
      </c>
      <c r="Q45" s="162">
        <f t="shared" si="23"/>
        <v>0</v>
      </c>
      <c r="R45" s="162">
        <f t="shared" si="23"/>
        <v>0</v>
      </c>
      <c r="S45" s="162">
        <f t="shared" si="23"/>
        <v>0</v>
      </c>
      <c r="T45" s="162">
        <f t="shared" si="23"/>
        <v>0</v>
      </c>
      <c r="U45" s="162">
        <f t="shared" si="23"/>
        <v>0</v>
      </c>
      <c r="V45" s="162">
        <f t="shared" si="23"/>
        <v>0</v>
      </c>
      <c r="W45" s="162">
        <f t="shared" si="23"/>
        <v>0</v>
      </c>
      <c r="X45" s="162">
        <f t="shared" si="23"/>
        <v>0</v>
      </c>
    </row>
    <row r="46" spans="1:24" s="154" customFormat="1" x14ac:dyDescent="0.2">
      <c r="A46" s="155"/>
      <c r="B46" s="156"/>
      <c r="C46" s="157"/>
      <c r="E46" s="154" t="str">
        <f t="shared" ref="E46:X46" si="24" xml:space="preserve"> E$43</f>
        <v>Tax on nominal ODI</v>
      </c>
      <c r="F46" s="154">
        <f t="shared" si="24"/>
        <v>0</v>
      </c>
      <c r="G46" s="154" t="str">
        <f t="shared" si="24"/>
        <v>£m (nominal)</v>
      </c>
      <c r="H46" s="154">
        <f t="shared" si="24"/>
        <v>0</v>
      </c>
      <c r="I46" s="154">
        <f t="shared" si="24"/>
        <v>0</v>
      </c>
      <c r="J46" s="162">
        <f t="shared" si="24"/>
        <v>0</v>
      </c>
      <c r="K46" s="162">
        <f t="shared" si="24"/>
        <v>0</v>
      </c>
      <c r="L46" s="162">
        <f t="shared" si="24"/>
        <v>0</v>
      </c>
      <c r="M46" s="162">
        <f t="shared" si="24"/>
        <v>0</v>
      </c>
      <c r="N46" s="162">
        <f t="shared" si="24"/>
        <v>0</v>
      </c>
      <c r="O46" s="162">
        <f t="shared" si="24"/>
        <v>0</v>
      </c>
      <c r="P46" s="162">
        <f t="shared" si="24"/>
        <v>0</v>
      </c>
      <c r="Q46" s="162">
        <f t="shared" si="24"/>
        <v>0</v>
      </c>
      <c r="R46" s="162">
        <f t="shared" si="24"/>
        <v>0</v>
      </c>
      <c r="S46" s="162">
        <f t="shared" si="24"/>
        <v>0</v>
      </c>
      <c r="T46" s="162">
        <f t="shared" si="24"/>
        <v>0</v>
      </c>
      <c r="U46" s="162">
        <f t="shared" si="24"/>
        <v>0</v>
      </c>
      <c r="V46" s="162">
        <f t="shared" si="24"/>
        <v>0</v>
      </c>
      <c r="W46" s="162">
        <f t="shared" si="24"/>
        <v>0</v>
      </c>
      <c r="X46" s="162">
        <f t="shared" si="24"/>
        <v>0</v>
      </c>
    </row>
    <row r="47" spans="1:24" s="154" customFormat="1" x14ac:dyDescent="0.2">
      <c r="A47" s="155"/>
      <c r="B47" s="156"/>
      <c r="C47" s="157"/>
      <c r="E47" s="154" t="s">
        <v>754</v>
      </c>
      <c r="G47" s="154" t="s">
        <v>602</v>
      </c>
      <c r="H47" s="162">
        <f xml:space="preserve"> H45 + H46</f>
        <v>0</v>
      </c>
      <c r="J47" s="162">
        <f xml:space="preserve"> J45 + J46</f>
        <v>0</v>
      </c>
      <c r="K47" s="162">
        <f t="shared" ref="K47:T47" si="25" xml:space="preserve"> K45 + K46</f>
        <v>0</v>
      </c>
      <c r="L47" s="162">
        <f t="shared" si="25"/>
        <v>0</v>
      </c>
      <c r="M47" s="162">
        <f t="shared" si="25"/>
        <v>0</v>
      </c>
      <c r="N47" s="162">
        <f t="shared" si="25"/>
        <v>0</v>
      </c>
      <c r="O47" s="162">
        <f t="shared" si="25"/>
        <v>0</v>
      </c>
      <c r="P47" s="162">
        <f t="shared" si="25"/>
        <v>0</v>
      </c>
      <c r="Q47" s="162">
        <f t="shared" si="25"/>
        <v>0</v>
      </c>
      <c r="R47" s="162">
        <f t="shared" si="25"/>
        <v>0</v>
      </c>
      <c r="S47" s="162">
        <f t="shared" si="25"/>
        <v>0</v>
      </c>
      <c r="T47" s="162">
        <f t="shared" si="25"/>
        <v>0</v>
      </c>
      <c r="U47" s="162">
        <f t="shared" ref="U47:V47" si="26" xml:space="preserve"> U45 + U46</f>
        <v>0</v>
      </c>
      <c r="V47" s="162">
        <f t="shared" si="26"/>
        <v>0</v>
      </c>
      <c r="W47" s="162">
        <f t="shared" ref="W47:X47" si="27" xml:space="preserve"> W45 + W46</f>
        <v>0</v>
      </c>
      <c r="X47" s="162">
        <f t="shared" si="27"/>
        <v>0</v>
      </c>
    </row>
    <row r="48" spans="1:24" s="154" customFormat="1" x14ac:dyDescent="0.2">
      <c r="A48" s="155"/>
      <c r="B48" s="156"/>
      <c r="C48" s="157"/>
    </row>
    <row r="49" spans="1:24" s="154" customFormat="1" x14ac:dyDescent="0.2">
      <c r="A49" s="155"/>
      <c r="B49" s="156"/>
      <c r="C49" s="157"/>
      <c r="E49" s="154" t="str">
        <f t="shared" ref="E49:X49" si="28" xml:space="preserve"> E$30</f>
        <v>Allowed revenue</v>
      </c>
      <c r="F49" s="154">
        <f t="shared" si="28"/>
        <v>0</v>
      </c>
      <c r="G49" s="154" t="str">
        <f t="shared" si="28"/>
        <v>£m (nominal)</v>
      </c>
      <c r="H49" s="154">
        <f t="shared" si="28"/>
        <v>0</v>
      </c>
      <c r="I49" s="154">
        <f t="shared" si="28"/>
        <v>0</v>
      </c>
      <c r="J49" s="162">
        <f t="shared" si="28"/>
        <v>0</v>
      </c>
      <c r="K49" s="162">
        <f t="shared" si="28"/>
        <v>0</v>
      </c>
      <c r="L49" s="162">
        <f t="shared" si="28"/>
        <v>0</v>
      </c>
      <c r="M49" s="162">
        <f t="shared" si="28"/>
        <v>0</v>
      </c>
      <c r="N49" s="162">
        <f t="shared" si="28"/>
        <v>0</v>
      </c>
      <c r="O49" s="162">
        <f t="shared" si="28"/>
        <v>0</v>
      </c>
      <c r="P49" s="162">
        <f t="shared" si="28"/>
        <v>0</v>
      </c>
      <c r="Q49" s="162">
        <f t="shared" si="28"/>
        <v>0</v>
      </c>
      <c r="R49" s="162">
        <f t="shared" si="28"/>
        <v>0</v>
      </c>
      <c r="S49" s="162">
        <f t="shared" si="28"/>
        <v>0</v>
      </c>
      <c r="T49" s="162">
        <f t="shared" si="28"/>
        <v>0</v>
      </c>
      <c r="U49" s="162">
        <f t="shared" si="28"/>
        <v>0</v>
      </c>
      <c r="V49" s="162">
        <f t="shared" si="28"/>
        <v>0</v>
      </c>
      <c r="W49" s="162">
        <f t="shared" si="28"/>
        <v>0</v>
      </c>
      <c r="X49" s="162">
        <f t="shared" si="28"/>
        <v>0</v>
      </c>
    </row>
    <row r="50" spans="1:24" s="154" customFormat="1" x14ac:dyDescent="0.2">
      <c r="A50" s="155"/>
      <c r="B50" s="156"/>
      <c r="C50" s="157"/>
      <c r="E50" s="154" t="str">
        <f t="shared" ref="E50:X50" si="29" xml:space="preserve"> E$47</f>
        <v xml:space="preserve">Total value of ODI </v>
      </c>
      <c r="F50" s="154">
        <f t="shared" si="29"/>
        <v>0</v>
      </c>
      <c r="G50" s="154" t="str">
        <f t="shared" si="29"/>
        <v>£m (nominal)</v>
      </c>
      <c r="H50" s="154">
        <f t="shared" si="29"/>
        <v>0</v>
      </c>
      <c r="I50" s="154">
        <f t="shared" si="29"/>
        <v>0</v>
      </c>
      <c r="J50" s="162">
        <f t="shared" si="29"/>
        <v>0</v>
      </c>
      <c r="K50" s="162">
        <f t="shared" si="29"/>
        <v>0</v>
      </c>
      <c r="L50" s="162">
        <f t="shared" si="29"/>
        <v>0</v>
      </c>
      <c r="M50" s="162">
        <f t="shared" si="29"/>
        <v>0</v>
      </c>
      <c r="N50" s="162">
        <f t="shared" si="29"/>
        <v>0</v>
      </c>
      <c r="O50" s="162">
        <f t="shared" si="29"/>
        <v>0</v>
      </c>
      <c r="P50" s="162">
        <f t="shared" si="29"/>
        <v>0</v>
      </c>
      <c r="Q50" s="162">
        <f t="shared" si="29"/>
        <v>0</v>
      </c>
      <c r="R50" s="162">
        <f t="shared" si="29"/>
        <v>0</v>
      </c>
      <c r="S50" s="162">
        <f t="shared" si="29"/>
        <v>0</v>
      </c>
      <c r="T50" s="162">
        <f t="shared" si="29"/>
        <v>0</v>
      </c>
      <c r="U50" s="162">
        <f t="shared" si="29"/>
        <v>0</v>
      </c>
      <c r="V50" s="162">
        <f t="shared" si="29"/>
        <v>0</v>
      </c>
      <c r="W50" s="162">
        <f t="shared" si="29"/>
        <v>0</v>
      </c>
      <c r="X50" s="162">
        <f t="shared" si="29"/>
        <v>0</v>
      </c>
    </row>
    <row r="51" spans="1:24" s="154" customFormat="1" x14ac:dyDescent="0.2">
      <c r="A51" s="155"/>
      <c r="B51" s="156"/>
      <c r="C51" s="157"/>
      <c r="E51" s="154" t="s">
        <v>755</v>
      </c>
      <c r="G51" s="154" t="s">
        <v>602</v>
      </c>
      <c r="H51" s="154">
        <f xml:space="preserve"> SUM( J51:T51 )</f>
        <v>0</v>
      </c>
      <c r="J51" s="162">
        <f xml:space="preserve"> J49 + J50</f>
        <v>0</v>
      </c>
      <c r="K51" s="162">
        <f t="shared" ref="K51:T51" si="30" xml:space="preserve"> K49 + K50</f>
        <v>0</v>
      </c>
      <c r="L51" s="162">
        <f t="shared" si="30"/>
        <v>0</v>
      </c>
      <c r="M51" s="162">
        <f t="shared" si="30"/>
        <v>0</v>
      </c>
      <c r="N51" s="162">
        <f t="shared" si="30"/>
        <v>0</v>
      </c>
      <c r="O51" s="162">
        <f t="shared" si="30"/>
        <v>0</v>
      </c>
      <c r="P51" s="162">
        <f t="shared" si="30"/>
        <v>0</v>
      </c>
      <c r="Q51" s="162">
        <f t="shared" si="30"/>
        <v>0</v>
      </c>
      <c r="R51" s="162">
        <f t="shared" si="30"/>
        <v>0</v>
      </c>
      <c r="S51" s="162">
        <f t="shared" si="30"/>
        <v>0</v>
      </c>
      <c r="T51" s="162">
        <f t="shared" si="30"/>
        <v>0</v>
      </c>
      <c r="U51" s="162">
        <f t="shared" ref="U51:V51" si="31" xml:space="preserve"> U49 + U50</f>
        <v>0</v>
      </c>
      <c r="V51" s="162">
        <f t="shared" si="31"/>
        <v>0</v>
      </c>
      <c r="W51" s="162">
        <f t="shared" ref="W51:X51" si="32" xml:space="preserve"> W49 + W50</f>
        <v>0</v>
      </c>
      <c r="X51" s="162">
        <f t="shared" si="32"/>
        <v>0</v>
      </c>
    </row>
    <row r="52" spans="1:24" s="154" customFormat="1" x14ac:dyDescent="0.2">
      <c r="A52" s="155"/>
      <c r="B52" s="156"/>
      <c r="C52" s="157"/>
    </row>
    <row r="53" spans="1:24" s="154" customFormat="1" x14ac:dyDescent="0.2">
      <c r="A53" s="155"/>
      <c r="B53" s="156" t="s">
        <v>756</v>
      </c>
      <c r="C53" s="157"/>
    </row>
    <row r="54" spans="1:24" s="154" customFormat="1" x14ac:dyDescent="0.2">
      <c r="A54" s="155"/>
      <c r="B54" s="156"/>
      <c r="C54" s="157"/>
      <c r="E54" s="154" t="str">
        <f t="shared" ref="E54:X54" si="33" xml:space="preserve"> E$51</f>
        <v>Revised total nominal revenue</v>
      </c>
      <c r="F54" s="154">
        <f t="shared" si="33"/>
        <v>0</v>
      </c>
      <c r="G54" s="154" t="str">
        <f t="shared" si="33"/>
        <v>£m (nominal)</v>
      </c>
      <c r="H54" s="154">
        <f t="shared" si="33"/>
        <v>0</v>
      </c>
      <c r="I54" s="154">
        <f t="shared" si="33"/>
        <v>0</v>
      </c>
      <c r="J54" s="154">
        <f t="shared" si="33"/>
        <v>0</v>
      </c>
      <c r="K54" s="154">
        <f t="shared" si="33"/>
        <v>0</v>
      </c>
      <c r="L54" s="154">
        <f t="shared" si="33"/>
        <v>0</v>
      </c>
      <c r="M54" s="154">
        <f t="shared" si="33"/>
        <v>0</v>
      </c>
      <c r="N54" s="154">
        <f t="shared" si="33"/>
        <v>0</v>
      </c>
      <c r="O54" s="154">
        <f t="shared" si="33"/>
        <v>0</v>
      </c>
      <c r="P54" s="154">
        <f t="shared" si="33"/>
        <v>0</v>
      </c>
      <c r="Q54" s="154">
        <f t="shared" si="33"/>
        <v>0</v>
      </c>
      <c r="R54" s="154">
        <f t="shared" si="33"/>
        <v>0</v>
      </c>
      <c r="S54" s="154">
        <f t="shared" si="33"/>
        <v>0</v>
      </c>
      <c r="T54" s="154">
        <f t="shared" si="33"/>
        <v>0</v>
      </c>
      <c r="U54" s="154">
        <f t="shared" si="33"/>
        <v>0</v>
      </c>
      <c r="V54" s="154">
        <f t="shared" si="33"/>
        <v>0</v>
      </c>
      <c r="W54" s="154">
        <f t="shared" si="33"/>
        <v>0</v>
      </c>
      <c r="X54" s="154">
        <f t="shared" si="33"/>
        <v>0</v>
      </c>
    </row>
    <row r="55" spans="1:24" s="154" customFormat="1" x14ac:dyDescent="0.2">
      <c r="A55" s="155"/>
      <c r="B55" s="163"/>
      <c r="C55" s="157"/>
      <c r="E55" s="164" t="s">
        <v>757</v>
      </c>
      <c r="F55" s="165"/>
      <c r="G55" s="164" t="s">
        <v>583</v>
      </c>
      <c r="H55" s="165"/>
      <c r="J55" s="197">
        <f xml:space="preserve"> IF( I54 = 0, 0, J54 / I54 - 1 )</f>
        <v>0</v>
      </c>
      <c r="K55" s="197">
        <f t="shared" ref="K55:U55" si="34" xml:space="preserve"> IF( J54 = 0, 0, K54 / J54 - 1 )</f>
        <v>0</v>
      </c>
      <c r="L55" s="197">
        <f t="shared" si="34"/>
        <v>0</v>
      </c>
      <c r="M55" s="197">
        <f t="shared" si="34"/>
        <v>0</v>
      </c>
      <c r="N55" s="197">
        <f t="shared" si="34"/>
        <v>0</v>
      </c>
      <c r="O55" s="197">
        <f t="shared" si="34"/>
        <v>0</v>
      </c>
      <c r="P55" s="197">
        <f t="shared" si="34"/>
        <v>0</v>
      </c>
      <c r="Q55" s="197">
        <f t="shared" si="34"/>
        <v>0</v>
      </c>
      <c r="R55" s="197">
        <f t="shared" si="34"/>
        <v>0</v>
      </c>
      <c r="S55" s="197">
        <f t="shared" si="34"/>
        <v>0</v>
      </c>
      <c r="T55" s="197">
        <f t="shared" si="34"/>
        <v>0</v>
      </c>
      <c r="U55" s="197">
        <f t="shared" si="34"/>
        <v>0</v>
      </c>
      <c r="V55" s="197">
        <f xml:space="preserve"> IF( U54 = 0, 0, V54 / U54 - 1 )</f>
        <v>0</v>
      </c>
      <c r="W55" s="197">
        <f xml:space="preserve"> IF( V54 = 0, 0, W54 / V54 - 1 )</f>
        <v>0</v>
      </c>
      <c r="X55" s="197">
        <f xml:space="preserve"> IF( W54 = 0, 0, X54 / W54 - 1 )</f>
        <v>0</v>
      </c>
    </row>
    <row r="56" spans="1:24" s="154" customFormat="1" x14ac:dyDescent="0.2">
      <c r="A56" s="155"/>
      <c r="B56" s="163"/>
      <c r="C56" s="157"/>
      <c r="E56" s="164"/>
      <c r="F56" s="165"/>
      <c r="G56" s="164"/>
      <c r="H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</row>
    <row r="57" spans="1:24" s="154" customFormat="1" x14ac:dyDescent="0.2">
      <c r="A57" s="155"/>
      <c r="B57" s="163"/>
      <c r="C57" s="157"/>
      <c r="E57" s="164" t="str">
        <f xml:space="preserve"> E$18</f>
        <v>Year of adjustment to be applied</v>
      </c>
      <c r="F57" s="164">
        <f t="shared" ref="F57:X57" si="35" xml:space="preserve"> F$18</f>
        <v>0</v>
      </c>
      <c r="G57" s="164" t="str">
        <f t="shared" si="35"/>
        <v>flag</v>
      </c>
      <c r="H57" s="164">
        <f t="shared" si="35"/>
        <v>0</v>
      </c>
      <c r="I57" s="164">
        <f t="shared" si="35"/>
        <v>0</v>
      </c>
      <c r="J57" s="199">
        <f t="shared" si="35"/>
        <v>0</v>
      </c>
      <c r="K57" s="199">
        <f t="shared" si="35"/>
        <v>0</v>
      </c>
      <c r="L57" s="199">
        <f t="shared" si="35"/>
        <v>0</v>
      </c>
      <c r="M57" s="199">
        <f t="shared" si="35"/>
        <v>0</v>
      </c>
      <c r="N57" s="199">
        <f t="shared" si="35"/>
        <v>0</v>
      </c>
      <c r="O57" s="199">
        <f t="shared" si="35"/>
        <v>0</v>
      </c>
      <c r="P57" s="199">
        <f t="shared" si="35"/>
        <v>0</v>
      </c>
      <c r="Q57" s="199">
        <f t="shared" si="35"/>
        <v>0</v>
      </c>
      <c r="R57" s="199">
        <f t="shared" si="35"/>
        <v>0</v>
      </c>
      <c r="S57" s="199">
        <f t="shared" si="35"/>
        <v>0</v>
      </c>
      <c r="T57" s="199">
        <f t="shared" si="35"/>
        <v>0</v>
      </c>
      <c r="U57" s="199">
        <f t="shared" si="35"/>
        <v>1</v>
      </c>
      <c r="V57" s="199">
        <f t="shared" si="35"/>
        <v>0</v>
      </c>
      <c r="W57" s="199">
        <f t="shared" si="35"/>
        <v>0</v>
      </c>
      <c r="X57" s="199">
        <f t="shared" si="35"/>
        <v>0</v>
      </c>
    </row>
    <row r="58" spans="1:24" s="291" customFormat="1" x14ac:dyDescent="0.2">
      <c r="A58" s="347"/>
      <c r="B58" s="348"/>
      <c r="C58" s="349"/>
      <c r="E58" s="350" t="s">
        <v>758</v>
      </c>
      <c r="F58" s="351"/>
      <c r="G58" s="350" t="s">
        <v>644</v>
      </c>
      <c r="H58" s="351"/>
      <c r="J58" s="352">
        <f t="shared" ref="J58:U58" si="36">IF($F$10&lt;&gt;0, IF( OR( J57 = 1, I58 = 1 ), 1, 0 ),0)</f>
        <v>0</v>
      </c>
      <c r="K58" s="352">
        <f t="shared" si="36"/>
        <v>0</v>
      </c>
      <c r="L58" s="352">
        <f t="shared" si="36"/>
        <v>0</v>
      </c>
      <c r="M58" s="352">
        <f t="shared" si="36"/>
        <v>0</v>
      </c>
      <c r="N58" s="352">
        <f t="shared" si="36"/>
        <v>0</v>
      </c>
      <c r="O58" s="352">
        <f t="shared" si="36"/>
        <v>0</v>
      </c>
      <c r="P58" s="352">
        <f t="shared" si="36"/>
        <v>0</v>
      </c>
      <c r="Q58" s="352">
        <f t="shared" si="36"/>
        <v>0</v>
      </c>
      <c r="R58" s="352">
        <f t="shared" si="36"/>
        <v>0</v>
      </c>
      <c r="S58" s="352">
        <f t="shared" si="36"/>
        <v>0</v>
      </c>
      <c r="T58" s="352">
        <f t="shared" si="36"/>
        <v>0</v>
      </c>
      <c r="U58" s="352">
        <f t="shared" si="36"/>
        <v>0</v>
      </c>
      <c r="V58" s="352">
        <f>IF($F$10&lt;&gt;0, IF( OR( V57 = 1, U58 = 1 ), 1, 0 ),0)</f>
        <v>0</v>
      </c>
      <c r="W58" s="352">
        <f>IF($F$10&lt;&gt;0, IF( OR( W57 = 1, V58 = 1 ), 1, 0 ),0)</f>
        <v>0</v>
      </c>
      <c r="X58" s="352">
        <f>IF($F$10&lt;&gt;0, IF( OR( X57 = 1, W58 = 1 ), 1, 0 ),0)</f>
        <v>0</v>
      </c>
    </row>
    <row r="59" spans="1:24" s="154" customFormat="1" x14ac:dyDescent="0.2">
      <c r="A59" s="155"/>
      <c r="B59" s="156"/>
      <c r="C59" s="157"/>
    </row>
    <row r="60" spans="1:24" s="167" customFormat="1" x14ac:dyDescent="0.2">
      <c r="A60" s="166"/>
      <c r="B60" s="156"/>
      <c r="E60" s="162" t="str">
        <f t="shared" ref="E60:X60" si="37" xml:space="preserve"> E$55</f>
        <v>Allowed revenue percentage movement</v>
      </c>
      <c r="F60" s="154">
        <f t="shared" si="37"/>
        <v>0</v>
      </c>
      <c r="G60" s="162" t="str">
        <f t="shared" si="37"/>
        <v>Percentage</v>
      </c>
      <c r="H60" s="154">
        <f t="shared" si="37"/>
        <v>0</v>
      </c>
      <c r="I60" s="154">
        <f t="shared" si="37"/>
        <v>0</v>
      </c>
      <c r="J60" s="95">
        <f t="shared" si="37"/>
        <v>0</v>
      </c>
      <c r="K60" s="95">
        <f t="shared" si="37"/>
        <v>0</v>
      </c>
      <c r="L60" s="95">
        <f t="shared" si="37"/>
        <v>0</v>
      </c>
      <c r="M60" s="95">
        <f t="shared" si="37"/>
        <v>0</v>
      </c>
      <c r="N60" s="95">
        <f t="shared" si="37"/>
        <v>0</v>
      </c>
      <c r="O60" s="95">
        <f t="shared" si="37"/>
        <v>0</v>
      </c>
      <c r="P60" s="95">
        <f t="shared" si="37"/>
        <v>0</v>
      </c>
      <c r="Q60" s="95">
        <f t="shared" si="37"/>
        <v>0</v>
      </c>
      <c r="R60" s="95">
        <f t="shared" si="37"/>
        <v>0</v>
      </c>
      <c r="S60" s="95">
        <f t="shared" si="37"/>
        <v>0</v>
      </c>
      <c r="T60" s="95">
        <f t="shared" si="37"/>
        <v>0</v>
      </c>
      <c r="U60" s="95">
        <f t="shared" si="37"/>
        <v>0</v>
      </c>
      <c r="V60" s="95">
        <f t="shared" si="37"/>
        <v>0</v>
      </c>
      <c r="W60" s="95">
        <f t="shared" si="37"/>
        <v>0</v>
      </c>
      <c r="X60" s="95">
        <f t="shared" si="37"/>
        <v>0</v>
      </c>
    </row>
    <row r="61" spans="1:24" s="167" customFormat="1" x14ac:dyDescent="0.2">
      <c r="A61" s="166"/>
      <c r="B61" s="156"/>
      <c r="E61" s="298" t="str">
        <f xml:space="preserve"> Index!E$12</f>
        <v>November CPIH annual inflation figures</v>
      </c>
      <c r="F61" s="298">
        <f xml:space="preserve"> Index!F$12</f>
        <v>0</v>
      </c>
      <c r="G61" s="298" t="str">
        <f xml:space="preserve"> Index!G$12</f>
        <v>Percentage</v>
      </c>
      <c r="H61" s="298">
        <f xml:space="preserve"> Index!H$12</f>
        <v>0</v>
      </c>
      <c r="I61" s="298">
        <f xml:space="preserve"> Index!I$12</f>
        <v>0</v>
      </c>
      <c r="J61" s="298">
        <f xml:space="preserve"> Index!J$12</f>
        <v>0</v>
      </c>
      <c r="K61" s="298">
        <f xml:space="preserve"> Index!K$12</f>
        <v>0</v>
      </c>
      <c r="L61" s="298">
        <f xml:space="preserve"> Index!L$12</f>
        <v>1.4955134596211339E-2</v>
      </c>
      <c r="M61" s="298">
        <f xml:space="preserve"> Index!M$12</f>
        <v>0</v>
      </c>
      <c r="N61" s="298">
        <f xml:space="preserve"> Index!N$12</f>
        <v>0</v>
      </c>
      <c r="O61" s="298">
        <f xml:space="preserve"> Index!O$12</f>
        <v>0</v>
      </c>
      <c r="P61" s="298">
        <f xml:space="preserve"> Index!P$12</f>
        <v>0</v>
      </c>
      <c r="Q61" s="298">
        <f xml:space="preserve"> Index!Q$12</f>
        <v>0</v>
      </c>
      <c r="R61" s="298">
        <f xml:space="preserve"> Index!R$12</f>
        <v>0</v>
      </c>
      <c r="S61" s="298">
        <f xml:space="preserve"> Index!S$12</f>
        <v>0</v>
      </c>
      <c r="T61" s="298">
        <f xml:space="preserve"> Index!T$12</f>
        <v>0</v>
      </c>
      <c r="U61" s="298">
        <f xml:space="preserve"> Index!U$12</f>
        <v>0</v>
      </c>
      <c r="V61" s="298">
        <f xml:space="preserve"> Index!V$12</f>
        <v>0</v>
      </c>
      <c r="W61" s="298">
        <f xml:space="preserve"> Index!W$12</f>
        <v>0</v>
      </c>
      <c r="X61" s="298">
        <f xml:space="preserve"> Index!X$12</f>
        <v>0</v>
      </c>
    </row>
    <row r="62" spans="1:24" s="167" customFormat="1" x14ac:dyDescent="0.2">
      <c r="A62" s="166"/>
      <c r="B62" s="156"/>
      <c r="E62" s="162" t="str">
        <f t="shared" ref="E62:X62" si="38" xml:space="preserve"> E$58</f>
        <v>Year that price limits should be recalculated</v>
      </c>
      <c r="F62" s="154">
        <f t="shared" si="38"/>
        <v>0</v>
      </c>
      <c r="G62" s="162" t="str">
        <f t="shared" si="38"/>
        <v>flag</v>
      </c>
      <c r="H62" s="154">
        <f t="shared" si="38"/>
        <v>0</v>
      </c>
      <c r="I62" s="154">
        <f t="shared" si="38"/>
        <v>0</v>
      </c>
      <c r="J62" s="200">
        <f t="shared" si="38"/>
        <v>0</v>
      </c>
      <c r="K62" s="200">
        <f t="shared" si="38"/>
        <v>0</v>
      </c>
      <c r="L62" s="200">
        <f t="shared" si="38"/>
        <v>0</v>
      </c>
      <c r="M62" s="200">
        <f t="shared" si="38"/>
        <v>0</v>
      </c>
      <c r="N62" s="200">
        <f t="shared" si="38"/>
        <v>0</v>
      </c>
      <c r="O62" s="200">
        <f t="shared" si="38"/>
        <v>0</v>
      </c>
      <c r="P62" s="200">
        <f t="shared" si="38"/>
        <v>0</v>
      </c>
      <c r="Q62" s="200">
        <f t="shared" si="38"/>
        <v>0</v>
      </c>
      <c r="R62" s="200">
        <f t="shared" si="38"/>
        <v>0</v>
      </c>
      <c r="S62" s="200">
        <f t="shared" si="38"/>
        <v>0</v>
      </c>
      <c r="T62" s="200">
        <f t="shared" si="38"/>
        <v>0</v>
      </c>
      <c r="U62" s="200">
        <f t="shared" si="38"/>
        <v>0</v>
      </c>
      <c r="V62" s="200">
        <f t="shared" si="38"/>
        <v>0</v>
      </c>
      <c r="W62" s="200">
        <f t="shared" si="38"/>
        <v>0</v>
      </c>
      <c r="X62" s="200">
        <f t="shared" si="38"/>
        <v>0</v>
      </c>
    </row>
    <row r="63" spans="1:24" s="167" customFormat="1" x14ac:dyDescent="0.2">
      <c r="A63" s="166"/>
      <c r="B63" s="156"/>
      <c r="E63" s="164" t="s">
        <v>759</v>
      </c>
      <c r="F63" s="165"/>
      <c r="G63" s="164" t="s">
        <v>583</v>
      </c>
      <c r="H63" s="165"/>
      <c r="I63" s="165"/>
      <c r="J63" s="197">
        <f xml:space="preserve"> IF( J62 = 0, 0, J60 - J61 )</f>
        <v>0</v>
      </c>
      <c r="K63" s="197">
        <f t="shared" ref="K63:T63" si="39" xml:space="preserve"> IF( K62 = 0, 0, K60 - K61 )</f>
        <v>0</v>
      </c>
      <c r="L63" s="197">
        <f t="shared" si="39"/>
        <v>0</v>
      </c>
      <c r="M63" s="197">
        <f t="shared" si="39"/>
        <v>0</v>
      </c>
      <c r="N63" s="197">
        <f t="shared" si="39"/>
        <v>0</v>
      </c>
      <c r="O63" s="197">
        <f t="shared" si="39"/>
        <v>0</v>
      </c>
      <c r="P63" s="197">
        <f t="shared" si="39"/>
        <v>0</v>
      </c>
      <c r="Q63" s="197">
        <f t="shared" si="39"/>
        <v>0</v>
      </c>
      <c r="R63" s="197">
        <f t="shared" si="39"/>
        <v>0</v>
      </c>
      <c r="S63" s="197">
        <f t="shared" si="39"/>
        <v>0</v>
      </c>
      <c r="T63" s="197">
        <f t="shared" si="39"/>
        <v>0</v>
      </c>
      <c r="U63" s="197">
        <f t="shared" ref="U63:V63" si="40" xml:space="preserve"> IF( U62 = 0, 0, U60 - U61 )</f>
        <v>0</v>
      </c>
      <c r="V63" s="197">
        <f t="shared" si="40"/>
        <v>0</v>
      </c>
      <c r="W63" s="197">
        <f t="shared" ref="W63:X63" si="41" xml:space="preserve"> IF( W62 = 0, 0, W60 - W61 )</f>
        <v>0</v>
      </c>
      <c r="X63" s="197">
        <f t="shared" si="41"/>
        <v>0</v>
      </c>
    </row>
    <row r="64" spans="1:24" s="154" customFormat="1" x14ac:dyDescent="0.2">
      <c r="A64" s="155"/>
      <c r="B64" s="156"/>
      <c r="C64" s="157"/>
    </row>
    <row r="65" spans="1:24" s="154" customFormat="1" x14ac:dyDescent="0.2">
      <c r="A65" s="155"/>
      <c r="B65" s="156"/>
      <c r="C65" s="157"/>
      <c r="E65" s="154" t="str">
        <f t="shared" ref="E65:X65" si="42" xml:space="preserve"> E$63</f>
        <v>Allowed revenue percentage movement (Nov-Nov CPIH deflated)</v>
      </c>
      <c r="F65" s="154">
        <f t="shared" si="42"/>
        <v>0</v>
      </c>
      <c r="G65" s="154" t="str">
        <f t="shared" si="42"/>
        <v>Percentage</v>
      </c>
      <c r="H65" s="154">
        <f t="shared" si="42"/>
        <v>0</v>
      </c>
      <c r="I65" s="154">
        <f t="shared" si="42"/>
        <v>0</v>
      </c>
      <c r="J65" s="95">
        <f t="shared" si="42"/>
        <v>0</v>
      </c>
      <c r="K65" s="95">
        <f t="shared" si="42"/>
        <v>0</v>
      </c>
      <c r="L65" s="95">
        <f t="shared" si="42"/>
        <v>0</v>
      </c>
      <c r="M65" s="95">
        <f t="shared" si="42"/>
        <v>0</v>
      </c>
      <c r="N65" s="95">
        <f t="shared" si="42"/>
        <v>0</v>
      </c>
      <c r="O65" s="95">
        <f t="shared" si="42"/>
        <v>0</v>
      </c>
      <c r="P65" s="95">
        <f t="shared" si="42"/>
        <v>0</v>
      </c>
      <c r="Q65" s="95">
        <f t="shared" si="42"/>
        <v>0</v>
      </c>
      <c r="R65" s="95">
        <f t="shared" si="42"/>
        <v>0</v>
      </c>
      <c r="S65" s="95">
        <f t="shared" si="42"/>
        <v>0</v>
      </c>
      <c r="T65" s="95">
        <f t="shared" si="42"/>
        <v>0</v>
      </c>
      <c r="U65" s="95">
        <f t="shared" si="42"/>
        <v>0</v>
      </c>
      <c r="V65" s="95">
        <f t="shared" si="42"/>
        <v>0</v>
      </c>
      <c r="W65" s="95">
        <f t="shared" si="42"/>
        <v>0</v>
      </c>
      <c r="X65" s="95">
        <f t="shared" si="42"/>
        <v>0</v>
      </c>
    </row>
    <row r="66" spans="1:24" s="154" customFormat="1" x14ac:dyDescent="0.2">
      <c r="A66" s="155"/>
      <c r="B66" s="156"/>
      <c r="E66" s="314" t="s">
        <v>776</v>
      </c>
      <c r="G66" s="162" t="s">
        <v>583</v>
      </c>
      <c r="J66" s="264">
        <f>IF(J58&lt;&gt;0,IF(J65&gt;=0,ROUNDUP(ROUNDDOWN(J65,5),4),ROUNDDOWN(ROUNDUP(J65,5),4)),J28)</f>
        <v>0</v>
      </c>
      <c r="K66" s="264">
        <f t="shared" ref="K66:T66" si="43">IF(K58&lt;&gt;0,IF(K65&gt;=0,ROUNDUP(ROUNDDOWN(K65,5),4),ROUNDDOWN(ROUNDUP(K65,5),4)),K28)</f>
        <v>0</v>
      </c>
      <c r="L66" s="264">
        <f t="shared" si="43"/>
        <v>0</v>
      </c>
      <c r="M66" s="264">
        <f t="shared" si="43"/>
        <v>0</v>
      </c>
      <c r="N66" s="264">
        <f t="shared" si="43"/>
        <v>0</v>
      </c>
      <c r="O66" s="264">
        <f t="shared" si="43"/>
        <v>0</v>
      </c>
      <c r="P66" s="264">
        <f t="shared" si="43"/>
        <v>0</v>
      </c>
      <c r="Q66" s="264">
        <f t="shared" si="43"/>
        <v>0</v>
      </c>
      <c r="R66" s="264">
        <f t="shared" si="43"/>
        <v>0</v>
      </c>
      <c r="S66" s="264">
        <f t="shared" si="43"/>
        <v>0</v>
      </c>
      <c r="T66" s="264">
        <f t="shared" si="43"/>
        <v>0</v>
      </c>
      <c r="U66" s="264">
        <f t="shared" ref="U66:V66" si="44">IF(U58&lt;&gt;0,IF(U65&gt;=0,ROUNDUP(ROUNDDOWN(U65,5),4),ROUNDDOWN(ROUNDUP(U65,5),4)),U28)</f>
        <v>0</v>
      </c>
      <c r="V66" s="264">
        <f t="shared" si="44"/>
        <v>0</v>
      </c>
      <c r="W66" s="264">
        <f t="shared" ref="W66:X66" si="45">IF(W58&lt;&gt;0,IF(W65&gt;=0,ROUNDUP(ROUNDDOWN(W65,5),4),ROUNDDOWN(ROUNDUP(W65,5),4)),W28)</f>
        <v>0</v>
      </c>
      <c r="X66" s="264">
        <f t="shared" si="45"/>
        <v>0</v>
      </c>
    </row>
    <row r="67" spans="1:24" s="167" customFormat="1" x14ac:dyDescent="0.2">
      <c r="A67" s="166"/>
      <c r="B67" s="156"/>
      <c r="E67" s="321" t="s">
        <v>776</v>
      </c>
      <c r="G67" s="168" t="s">
        <v>584</v>
      </c>
      <c r="J67" s="178">
        <f>J66*100</f>
        <v>0</v>
      </c>
      <c r="K67" s="178">
        <f t="shared" ref="K67:T67" si="46">K66*100</f>
        <v>0</v>
      </c>
      <c r="L67" s="178">
        <f t="shared" si="46"/>
        <v>0</v>
      </c>
      <c r="M67" s="178">
        <f t="shared" si="46"/>
        <v>0</v>
      </c>
      <c r="N67" s="178">
        <f t="shared" si="46"/>
        <v>0</v>
      </c>
      <c r="O67" s="178">
        <f t="shared" si="46"/>
        <v>0</v>
      </c>
      <c r="P67" s="178">
        <f t="shared" si="46"/>
        <v>0</v>
      </c>
      <c r="Q67" s="178">
        <f t="shared" si="46"/>
        <v>0</v>
      </c>
      <c r="R67" s="178">
        <f t="shared" si="46"/>
        <v>0</v>
      </c>
      <c r="S67" s="178">
        <f t="shared" si="46"/>
        <v>0</v>
      </c>
      <c r="T67" s="178">
        <f t="shared" si="46"/>
        <v>0</v>
      </c>
      <c r="U67" s="178">
        <f t="shared" ref="U67:V67" si="47">U66*100</f>
        <v>0</v>
      </c>
      <c r="V67" s="178">
        <f t="shared" si="47"/>
        <v>0</v>
      </c>
      <c r="W67" s="178">
        <f t="shared" ref="W67:X67" si="48">W66*100</f>
        <v>0</v>
      </c>
      <c r="X67" s="178">
        <f t="shared" si="48"/>
        <v>0</v>
      </c>
    </row>
    <row r="68" spans="1:24" s="167" customFormat="1" x14ac:dyDescent="0.2">
      <c r="A68" s="166"/>
      <c r="B68" s="156"/>
      <c r="E68" s="168"/>
      <c r="G68" s="168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</row>
    <row r="69" spans="1:24" s="208" customFormat="1" ht="13.5" x14ac:dyDescent="0.25">
      <c r="A69" s="208" t="s">
        <v>134</v>
      </c>
    </row>
  </sheetData>
  <conditionalFormatting sqref="J3:X3">
    <cfRule type="cellIs" dxfId="24" priority="1" operator="equal">
      <formula>"Post-Fcst"</formula>
    </cfRule>
    <cfRule type="cellIs" dxfId="23" priority="2" operator="equal">
      <formula>"Post-Fcst Mod"</formula>
    </cfRule>
    <cfRule type="cellIs" dxfId="22" priority="3" operator="equal">
      <formula>"Forecast"</formula>
    </cfRule>
    <cfRule type="cellIs" dxfId="21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E0DB9-BCBC-42EE-977B-C72828610150}">
  <sheetPr>
    <tabColor theme="5" tint="0.79998168889431442"/>
  </sheetPr>
  <dimension ref="A1:K38"/>
  <sheetViews>
    <sheetView showGridLines="0" zoomScale="80" zoomScaleNormal="80" workbookViewId="0">
      <pane ySplit="1" topLeftCell="A2" activePane="bottomLeft" state="frozen"/>
      <selection activeCell="B4" sqref="B4"/>
      <selection pane="bottomLeft"/>
    </sheetView>
  </sheetViews>
  <sheetFormatPr defaultColWidth="0" defaultRowHeight="12.75" zeroHeight="1" x14ac:dyDescent="0.2"/>
  <cols>
    <col min="1" max="4" width="2.375" style="219" customWidth="1"/>
    <col min="5" max="5" width="40.875" style="219" customWidth="1"/>
    <col min="6" max="6" width="2.375" style="219" customWidth="1"/>
    <col min="7" max="7" width="32.125" style="219" customWidth="1"/>
    <col min="8" max="8" width="2.375" style="219" hidden="1" customWidth="1"/>
    <col min="9" max="9" width="37.5" style="219" hidden="1" customWidth="1"/>
    <col min="10" max="10" width="2.375" style="219" hidden="1" customWidth="1"/>
    <col min="11" max="11" width="22.125" style="219" hidden="1" customWidth="1"/>
    <col min="12" max="16384" width="9.125" style="219" hidden="1"/>
  </cols>
  <sheetData>
    <row r="1" spans="1:11" s="216" customFormat="1" ht="30" x14ac:dyDescent="0.4">
      <c r="A1" s="216" t="str">
        <f ca="1" xml:space="preserve"> RIGHT(CELL("filename", $A$1), LEN(CELL("filename", $A$1)) - SEARCH("]", CELL("filename", $A$1)))</f>
        <v>Style guide</v>
      </c>
    </row>
    <row r="2" spans="1:11" ht="9" customHeight="1" x14ac:dyDescent="0.2"/>
    <row r="3" spans="1:11" ht="15.75" x14ac:dyDescent="0.3">
      <c r="A3" s="220" t="s">
        <v>60</v>
      </c>
      <c r="I3" s="220"/>
      <c r="K3" s="220"/>
    </row>
    <row r="4" spans="1:11" ht="9" customHeight="1" x14ac:dyDescent="0.2"/>
    <row r="5" spans="1:11" ht="13.5" x14ac:dyDescent="0.25">
      <c r="B5" s="228" t="s">
        <v>61</v>
      </c>
    </row>
    <row r="6" spans="1:11" x14ac:dyDescent="0.2">
      <c r="E6" s="229" t="s">
        <v>62</v>
      </c>
      <c r="G6" s="219" t="s">
        <v>63</v>
      </c>
    </row>
    <row r="7" spans="1:11" ht="9" customHeight="1" x14ac:dyDescent="0.2"/>
    <row r="8" spans="1:11" x14ac:dyDescent="0.2">
      <c r="E8" s="230" t="s">
        <v>64</v>
      </c>
      <c r="G8" s="219" t="s">
        <v>65</v>
      </c>
    </row>
    <row r="9" spans="1:11" ht="9" customHeight="1" x14ac:dyDescent="0.2"/>
    <row r="10" spans="1:11" x14ac:dyDescent="0.2">
      <c r="E10" s="231" t="s">
        <v>66</v>
      </c>
      <c r="G10" s="219" t="s">
        <v>67</v>
      </c>
    </row>
    <row r="11" spans="1:11" ht="9" customHeight="1" x14ac:dyDescent="0.2"/>
    <row r="12" spans="1:11" x14ac:dyDescent="0.2">
      <c r="E12" s="219" t="s">
        <v>68</v>
      </c>
    </row>
    <row r="13" spans="1:11" x14ac:dyDescent="0.2">
      <c r="E13" s="219" t="s">
        <v>69</v>
      </c>
    </row>
    <row r="14" spans="1:11" ht="9" customHeight="1" x14ac:dyDescent="0.2"/>
    <row r="15" spans="1:11" x14ac:dyDescent="0.2">
      <c r="E15" s="232" t="s">
        <v>70</v>
      </c>
      <c r="G15" s="219" t="s">
        <v>71</v>
      </c>
    </row>
    <row r="16" spans="1:11" ht="9" customHeight="1" x14ac:dyDescent="0.2"/>
    <row r="17" spans="1:7" ht="13.5" x14ac:dyDescent="0.25">
      <c r="B17" s="228" t="s">
        <v>72</v>
      </c>
    </row>
    <row r="18" spans="1:7" ht="6" customHeight="1" x14ac:dyDescent="0.25">
      <c r="B18" s="228"/>
    </row>
    <row r="19" spans="1:7" x14ac:dyDescent="0.2">
      <c r="E19" s="217" t="s">
        <v>73</v>
      </c>
      <c r="G19" s="219" t="s">
        <v>74</v>
      </c>
    </row>
    <row r="20" spans="1:7" ht="9" customHeight="1" x14ac:dyDescent="0.2"/>
    <row r="21" spans="1:7" x14ac:dyDescent="0.2">
      <c r="E21" s="286" t="s">
        <v>75</v>
      </c>
      <c r="G21" s="219" t="s">
        <v>76</v>
      </c>
    </row>
    <row r="22" spans="1:7" ht="13.5" x14ac:dyDescent="0.25">
      <c r="B22" s="228" t="s">
        <v>77</v>
      </c>
    </row>
    <row r="23" spans="1:7" ht="13.5" x14ac:dyDescent="0.25">
      <c r="E23" s="209" t="s">
        <v>78</v>
      </c>
      <c r="G23" s="219" t="s">
        <v>79</v>
      </c>
    </row>
    <row r="24" spans="1:7" ht="9" customHeight="1" x14ac:dyDescent="0.2"/>
    <row r="25" spans="1:7" ht="13.5" x14ac:dyDescent="0.25">
      <c r="E25" s="208" t="s">
        <v>80</v>
      </c>
      <c r="G25" s="219" t="s">
        <v>81</v>
      </c>
    </row>
    <row r="26" spans="1:7" ht="9" customHeight="1" x14ac:dyDescent="0.2"/>
    <row r="27" spans="1:7" ht="9" customHeight="1" x14ac:dyDescent="0.2"/>
    <row r="28" spans="1:7" ht="15.75" x14ac:dyDescent="0.3">
      <c r="A28" s="220" t="s">
        <v>82</v>
      </c>
      <c r="E28" s="233"/>
    </row>
    <row r="29" spans="1:7" ht="9" customHeight="1" x14ac:dyDescent="0.2"/>
    <row r="30" spans="1:7" x14ac:dyDescent="0.2">
      <c r="E30" s="210"/>
      <c r="G30" s="219" t="s">
        <v>83</v>
      </c>
    </row>
    <row r="31" spans="1:7" ht="9" customHeight="1" x14ac:dyDescent="0.2"/>
    <row r="32" spans="1:7" x14ac:dyDescent="0.2">
      <c r="E32" s="218"/>
      <c r="G32" s="219" t="s">
        <v>84</v>
      </c>
    </row>
    <row r="33" spans="1:7" ht="9" customHeight="1" x14ac:dyDescent="0.2"/>
    <row r="34" spans="1:7" x14ac:dyDescent="0.2">
      <c r="E34" s="211"/>
      <c r="G34" s="219" t="s">
        <v>85</v>
      </c>
    </row>
    <row r="35" spans="1:7" ht="9" customHeight="1" x14ac:dyDescent="0.2"/>
    <row r="36" spans="1:7" x14ac:dyDescent="0.2">
      <c r="E36" s="212"/>
      <c r="G36" s="219" t="s">
        <v>86</v>
      </c>
    </row>
    <row r="37" spans="1:7" ht="9" customHeight="1" x14ac:dyDescent="0.2"/>
    <row r="38" spans="1:7" s="208" customFormat="1" ht="13.5" x14ac:dyDescent="0.25">
      <c r="A38" s="208" t="s">
        <v>59</v>
      </c>
    </row>
  </sheetData>
  <pageMargins left="0.7" right="0.7" top="0.75" bottom="0.75" header="0.3" footer="0.3"/>
  <pageSetup paperSize="9" scale="69" fitToHeight="0" orientation="landscape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D293-86AC-4756-839E-6F337B6DA613}">
  <sheetPr>
    <tabColor theme="5"/>
    <outlinePr summaryBelow="0" summaryRight="0"/>
    <pageSetUpPr fitToPage="1"/>
  </sheetPr>
  <dimension ref="A1:X69"/>
  <sheetViews>
    <sheetView showGridLines="0" zoomScale="80" zoomScaleNormal="80" workbookViewId="0">
      <pane xSplit="9" ySplit="5" topLeftCell="J6" activePane="bottomRight" state="frozen"/>
      <selection pane="topRight" activeCell="B4" sqref="B4"/>
      <selection pane="bottomLeft" activeCell="B4" sqref="B4"/>
      <selection pane="bottomRight"/>
    </sheetView>
  </sheetViews>
  <sheetFormatPr defaultColWidth="9.625" defaultRowHeight="12.75" zeroHeight="1" x14ac:dyDescent="0.2"/>
  <cols>
    <col min="1" max="1" width="1.625" style="96" customWidth="1"/>
    <col min="2" max="2" width="1.625" style="139" customWidth="1"/>
    <col min="3" max="3" width="1.625" style="98" customWidth="1"/>
    <col min="4" max="4" width="1.625" style="88" customWidth="1"/>
    <col min="5" max="5" width="75.125" style="88" bestFit="1" customWidth="1"/>
    <col min="6" max="6" width="15.625" style="88" customWidth="1"/>
    <col min="7" max="7" width="30.625" style="88" customWidth="1"/>
    <col min="8" max="8" width="15.625" style="30" customWidth="1"/>
    <col min="9" max="9" width="2.625" style="30" customWidth="1"/>
    <col min="10" max="22" width="9.625" style="30" customWidth="1"/>
    <col min="23" max="16384" width="9.625" style="30"/>
  </cols>
  <sheetData>
    <row r="1" spans="1:24" s="103" customFormat="1" ht="44.25" x14ac:dyDescent="0.2">
      <c r="A1" s="132" t="str">
        <f ca="1" xml:space="preserve"> RIGHT(CELL("filename", $A$1), LEN(CELL("filename", $A$1)) - SEARCH("]", CELL("filename", $A$1)))</f>
        <v>Additional control 2</v>
      </c>
      <c r="B1" s="133"/>
      <c r="C1" s="134"/>
      <c r="D1" s="130"/>
      <c r="E1" s="130"/>
      <c r="F1" s="130"/>
      <c r="G1" s="130"/>
      <c r="H1" s="393" t="str">
        <f>InpActive!F9</f>
        <v>Anglian Water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4" customFormat="1" x14ac:dyDescent="0.2">
      <c r="A2" s="135"/>
      <c r="B2" s="136"/>
      <c r="C2" s="137"/>
      <c r="D2" s="138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19" customFormat="1" x14ac:dyDescent="0.2">
      <c r="A3" s="131"/>
      <c r="B3" s="136"/>
      <c r="C3" s="137"/>
      <c r="D3" s="138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8" customFormat="1" x14ac:dyDescent="0.2">
      <c r="A4" s="131"/>
      <c r="B4" s="136"/>
      <c r="C4" s="137"/>
      <c r="D4" s="138"/>
      <c r="E4" s="120" t="str">
        <f>Time!E$106</f>
        <v>Financial Year Ending</v>
      </c>
      <c r="F4" s="120"/>
      <c r="G4" s="120"/>
      <c r="H4" s="116"/>
      <c r="I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29" customFormat="1" x14ac:dyDescent="0.2">
      <c r="A5" s="131"/>
      <c r="B5" s="136"/>
      <c r="C5" s="137"/>
      <c r="D5" s="138"/>
      <c r="E5" s="120" t="str">
        <f>Time!E$10</f>
        <v>Model column counter</v>
      </c>
      <c r="F5" s="131" t="s">
        <v>532</v>
      </c>
      <c r="G5" s="131" t="s">
        <v>186</v>
      </c>
      <c r="H5" s="19" t="s">
        <v>533</v>
      </c>
      <c r="I5" s="24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29" customFormat="1" x14ac:dyDescent="0.2">
      <c r="A6" s="131"/>
      <c r="B6" s="136"/>
      <c r="C6" s="137"/>
      <c r="D6" s="138"/>
      <c r="E6" s="120"/>
      <c r="F6" s="131"/>
      <c r="G6" s="131"/>
      <c r="H6" s="19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209" customFormat="1" ht="13.5" x14ac:dyDescent="0.25">
      <c r="A7" s="209" t="s">
        <v>539</v>
      </c>
    </row>
    <row r="8" spans="1:24" x14ac:dyDescent="0.2">
      <c r="A8" s="155"/>
      <c r="B8" s="156"/>
      <c r="C8" s="157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</row>
    <row r="9" spans="1:24" s="154" customFormat="1" x14ac:dyDescent="0.2">
      <c r="A9" s="155"/>
      <c r="B9" s="156" t="s">
        <v>741</v>
      </c>
      <c r="C9" s="157"/>
    </row>
    <row r="10" spans="1:24" s="295" customFormat="1" x14ac:dyDescent="0.2">
      <c r="A10" s="345"/>
      <c r="B10" s="346"/>
      <c r="E10" s="295" t="str">
        <f xml:space="preserve"> 'Abatements and deferrals'!E$152</f>
        <v>Payments after abatements and deferrals and other bespoke adjustments - additional control 2</v>
      </c>
      <c r="F10" s="295">
        <f xml:space="preserve"> 'Abatements and deferrals'!F$152</f>
        <v>0</v>
      </c>
      <c r="G10" s="295" t="str">
        <f xml:space="preserve"> 'Abatements and deferrals'!G$151</f>
        <v>£m (2017-18 FYA CPIH prices)</v>
      </c>
      <c r="H10" s="295">
        <f xml:space="preserve"> 'Abatements and deferrals'!H$152</f>
        <v>0</v>
      </c>
      <c r="I10" s="295">
        <f xml:space="preserve"> 'Abatements and deferrals'!I$152</f>
        <v>0</v>
      </c>
    </row>
    <row r="11" spans="1:24" s="154" customFormat="1" x14ac:dyDescent="0.2">
      <c r="A11" s="155"/>
      <c r="B11" s="156"/>
      <c r="C11" s="157"/>
      <c r="E11" s="291"/>
      <c r="G11" s="291"/>
      <c r="H11" s="291"/>
    </row>
    <row r="12" spans="1:24" s="154" customFormat="1" x14ac:dyDescent="0.2">
      <c r="A12" s="155"/>
      <c r="B12" s="156" t="s">
        <v>742</v>
      </c>
      <c r="C12" s="157"/>
    </row>
    <row r="13" spans="1:24" s="154" customFormat="1" x14ac:dyDescent="0.2">
      <c r="A13" s="155"/>
      <c r="B13" s="156"/>
      <c r="C13" s="157"/>
    </row>
    <row r="14" spans="1:24" s="160" customFormat="1" x14ac:dyDescent="0.2">
      <c r="A14" s="158"/>
      <c r="B14" s="159"/>
      <c r="E14" s="295" t="str">
        <f xml:space="preserve"> InpActive!E$12</f>
        <v>Reporting year</v>
      </c>
      <c r="F14" s="295" t="str">
        <f xml:space="preserve"> InpActive!F$12</f>
        <v>2024-25</v>
      </c>
      <c r="G14" s="295" t="str">
        <f xml:space="preserve"> InpActive!G$12</f>
        <v>Financial year</v>
      </c>
    </row>
    <row r="15" spans="1:24" s="154" customFormat="1" x14ac:dyDescent="0.2">
      <c r="A15" s="155"/>
      <c r="B15" s="156"/>
      <c r="C15" s="157"/>
      <c r="E15" s="154" t="s">
        <v>743</v>
      </c>
      <c r="F15" s="215">
        <f>_xlfn.NUMBERVALUE(CONCATENATE(20,RIGHT(F14,2)))</f>
        <v>2025</v>
      </c>
    </row>
    <row r="16" spans="1:24" s="160" customFormat="1" x14ac:dyDescent="0.2">
      <c r="A16" s="158"/>
      <c r="B16" s="159"/>
      <c r="E16" s="171" t="str">
        <f xml:space="preserve"> Time!E$106</f>
        <v>Financial Year Ending</v>
      </c>
      <c r="F16" s="169">
        <f xml:space="preserve"> Time!F$106</f>
        <v>0</v>
      </c>
      <c r="G16" s="169" t="str">
        <f xml:space="preserve"> Time!G$106</f>
        <v>year #</v>
      </c>
      <c r="H16" s="169">
        <f xml:space="preserve"> Time!H$106</f>
        <v>0</v>
      </c>
      <c r="I16" s="169">
        <f xml:space="preserve"> Time!I$106</f>
        <v>0</v>
      </c>
      <c r="J16" s="214">
        <f xml:space="preserve"> Time!J$106</f>
        <v>2016</v>
      </c>
      <c r="K16" s="214">
        <f xml:space="preserve"> Time!K$106</f>
        <v>2017</v>
      </c>
      <c r="L16" s="214">
        <f xml:space="preserve"> Time!L$106</f>
        <v>2018</v>
      </c>
      <c r="M16" s="214">
        <f xml:space="preserve"> Time!M$106</f>
        <v>2019</v>
      </c>
      <c r="N16" s="214">
        <f xml:space="preserve"> Time!N$106</f>
        <v>2020</v>
      </c>
      <c r="O16" s="214">
        <f xml:space="preserve"> Time!O$106</f>
        <v>2021</v>
      </c>
      <c r="P16" s="214">
        <f xml:space="preserve"> Time!P$106</f>
        <v>2022</v>
      </c>
      <c r="Q16" s="214">
        <f xml:space="preserve"> Time!Q$106</f>
        <v>2023</v>
      </c>
      <c r="R16" s="214">
        <f xml:space="preserve"> Time!R$106</f>
        <v>2024</v>
      </c>
      <c r="S16" s="214">
        <f xml:space="preserve"> Time!S$106</f>
        <v>2025</v>
      </c>
      <c r="T16" s="214">
        <f xml:space="preserve"> Time!T$106</f>
        <v>2026</v>
      </c>
      <c r="U16" s="214">
        <f xml:space="preserve"> Time!U$106</f>
        <v>2027</v>
      </c>
      <c r="V16" s="214">
        <f xml:space="preserve"> Time!V$106</f>
        <v>2028</v>
      </c>
      <c r="W16" s="214">
        <f xml:space="preserve"> Time!W$106</f>
        <v>2029</v>
      </c>
      <c r="X16" s="214">
        <f xml:space="preserve"> Time!X$106</f>
        <v>2030</v>
      </c>
    </row>
    <row r="17" spans="1:24" s="154" customFormat="1" x14ac:dyDescent="0.2">
      <c r="A17" s="155"/>
      <c r="B17" s="156"/>
      <c r="C17" s="157"/>
      <c r="E17" s="154" t="s">
        <v>744</v>
      </c>
      <c r="G17" s="154" t="s">
        <v>644</v>
      </c>
      <c r="J17" s="170">
        <f xml:space="preserve"> IF( J16 = $F15, 1, 0 )</f>
        <v>0</v>
      </c>
      <c r="K17" s="170">
        <f t="shared" ref="K17:X17" si="0" xml:space="preserve"> IF( K16 = $F15, 1, 0 )</f>
        <v>0</v>
      </c>
      <c r="L17" s="170">
        <f t="shared" si="0"/>
        <v>0</v>
      </c>
      <c r="M17" s="170">
        <f t="shared" si="0"/>
        <v>0</v>
      </c>
      <c r="N17" s="170">
        <f t="shared" si="0"/>
        <v>0</v>
      </c>
      <c r="O17" s="170">
        <f t="shared" si="0"/>
        <v>0</v>
      </c>
      <c r="P17" s="170">
        <f t="shared" si="0"/>
        <v>0</v>
      </c>
      <c r="Q17" s="170">
        <f t="shared" si="0"/>
        <v>0</v>
      </c>
      <c r="R17" s="170">
        <f t="shared" si="0"/>
        <v>0</v>
      </c>
      <c r="S17" s="170">
        <f t="shared" si="0"/>
        <v>1</v>
      </c>
      <c r="T17" s="170">
        <f t="shared" si="0"/>
        <v>0</v>
      </c>
      <c r="U17" s="170">
        <f t="shared" si="0"/>
        <v>0</v>
      </c>
      <c r="V17" s="170">
        <f t="shared" si="0"/>
        <v>0</v>
      </c>
      <c r="W17" s="170">
        <f t="shared" si="0"/>
        <v>0</v>
      </c>
      <c r="X17" s="170">
        <f t="shared" si="0"/>
        <v>0</v>
      </c>
    </row>
    <row r="18" spans="1:24" s="154" customFormat="1" x14ac:dyDescent="0.2">
      <c r="A18" s="155"/>
      <c r="B18" s="156"/>
      <c r="C18" s="157"/>
      <c r="E18" s="154" t="s">
        <v>745</v>
      </c>
      <c r="G18" s="154" t="s">
        <v>644</v>
      </c>
      <c r="J18" s="170">
        <f xml:space="preserve"> IF( H17 = 1, 1, 0 )</f>
        <v>0</v>
      </c>
      <c r="K18" s="170">
        <f t="shared" ref="K18:U18" si="1" xml:space="preserve"> IF( I17 = 1, 1, 0 )</f>
        <v>0</v>
      </c>
      <c r="L18" s="170">
        <f t="shared" si="1"/>
        <v>0</v>
      </c>
      <c r="M18" s="170">
        <f t="shared" si="1"/>
        <v>0</v>
      </c>
      <c r="N18" s="170">
        <f t="shared" si="1"/>
        <v>0</v>
      </c>
      <c r="O18" s="170">
        <f t="shared" si="1"/>
        <v>0</v>
      </c>
      <c r="P18" s="170">
        <f t="shared" si="1"/>
        <v>0</v>
      </c>
      <c r="Q18" s="170">
        <f t="shared" si="1"/>
        <v>0</v>
      </c>
      <c r="R18" s="170">
        <f t="shared" si="1"/>
        <v>0</v>
      </c>
      <c r="S18" s="170">
        <f t="shared" si="1"/>
        <v>0</v>
      </c>
      <c r="T18" s="170">
        <f t="shared" si="1"/>
        <v>0</v>
      </c>
      <c r="U18" s="170">
        <f t="shared" si="1"/>
        <v>1</v>
      </c>
      <c r="V18" s="170">
        <f xml:space="preserve"> IF( T17 = 1, 1, 0 )</f>
        <v>0</v>
      </c>
      <c r="W18" s="170">
        <f xml:space="preserve"> IF( U17 = 1, 1, 0 )</f>
        <v>0</v>
      </c>
      <c r="X18" s="170">
        <f xml:space="preserve"> IF( V17 = 1, 1, 0 )</f>
        <v>0</v>
      </c>
    </row>
    <row r="19" spans="1:24" s="154" customFormat="1" x14ac:dyDescent="0.2">
      <c r="A19" s="155"/>
      <c r="B19" s="156"/>
      <c r="C19" s="157"/>
    </row>
    <row r="20" spans="1:24" s="154" customFormat="1" x14ac:dyDescent="0.2">
      <c r="A20" s="155"/>
      <c r="B20" s="156"/>
      <c r="C20" s="157"/>
      <c r="E20" s="291" t="str">
        <f xml:space="preserve"> E10</f>
        <v>Payments after abatements and deferrals and other bespoke adjustments - additional control 2</v>
      </c>
      <c r="G20" s="291" t="str">
        <f xml:space="preserve"> G10</f>
        <v>£m (2017-18 FYA CPIH prices)</v>
      </c>
      <c r="J20" s="291">
        <f t="shared" ref="J20:X20" si="2" xml:space="preserve"> IF( J18 = 1, $F10, 0 )</f>
        <v>0</v>
      </c>
      <c r="K20" s="291">
        <f t="shared" si="2"/>
        <v>0</v>
      </c>
      <c r="L20" s="291">
        <f t="shared" si="2"/>
        <v>0</v>
      </c>
      <c r="M20" s="291">
        <f t="shared" si="2"/>
        <v>0</v>
      </c>
      <c r="N20" s="291">
        <f t="shared" si="2"/>
        <v>0</v>
      </c>
      <c r="O20" s="291">
        <f t="shared" si="2"/>
        <v>0</v>
      </c>
      <c r="P20" s="291">
        <f t="shared" si="2"/>
        <v>0</v>
      </c>
      <c r="Q20" s="291">
        <f t="shared" si="2"/>
        <v>0</v>
      </c>
      <c r="R20" s="291">
        <f t="shared" si="2"/>
        <v>0</v>
      </c>
      <c r="S20" s="291">
        <f t="shared" si="2"/>
        <v>0</v>
      </c>
      <c r="T20" s="291">
        <f t="shared" si="2"/>
        <v>0</v>
      </c>
      <c r="U20" s="291">
        <f t="shared" si="2"/>
        <v>0</v>
      </c>
      <c r="V20" s="291">
        <f t="shared" si="2"/>
        <v>0</v>
      </c>
      <c r="W20" s="291">
        <f t="shared" si="2"/>
        <v>0</v>
      </c>
      <c r="X20" s="291">
        <f t="shared" si="2"/>
        <v>0</v>
      </c>
    </row>
    <row r="21" spans="1:24" x14ac:dyDescent="0.2">
      <c r="B21" s="97"/>
      <c r="E21" s="91"/>
    </row>
    <row r="22" spans="1:24" s="209" customFormat="1" ht="13.5" x14ac:dyDescent="0.25">
      <c r="A22" s="209" t="s">
        <v>746</v>
      </c>
    </row>
    <row r="23" spans="1:24" x14ac:dyDescent="0.2">
      <c r="B23" s="97"/>
      <c r="E23" s="91"/>
    </row>
    <row r="24" spans="1:24" x14ac:dyDescent="0.2">
      <c r="B24" s="97"/>
      <c r="E24" s="320" t="str">
        <f xml:space="preserve"> InpActive!E$147</f>
        <v>Allowed revenue starting point in FD24 - additional control 2</v>
      </c>
      <c r="F24" s="320">
        <f xml:space="preserve"> InpActive!F$147</f>
        <v>0</v>
      </c>
      <c r="G24" s="320" t="str">
        <f xml:space="preserve"> InpActive!G$147</f>
        <v>£m (nominal)</v>
      </c>
      <c r="H24" s="320">
        <f xml:space="preserve"> InpActive!H$147</f>
        <v>0</v>
      </c>
      <c r="I24" s="320">
        <f xml:space="preserve"> InpActive!I$147</f>
        <v>0</v>
      </c>
      <c r="J24" s="320">
        <f xml:space="preserve"> InpActive!J$147</f>
        <v>0</v>
      </c>
      <c r="K24" s="320">
        <f xml:space="preserve"> InpActive!K$147</f>
        <v>0</v>
      </c>
      <c r="L24" s="320">
        <f xml:space="preserve"> InpActive!L$147</f>
        <v>0</v>
      </c>
      <c r="M24" s="320">
        <f xml:space="preserve"> InpActive!M$147</f>
        <v>0</v>
      </c>
      <c r="N24" s="320">
        <f xml:space="preserve"> InpActive!N$147</f>
        <v>0</v>
      </c>
      <c r="O24" s="320">
        <f xml:space="preserve"> InpActive!O$147</f>
        <v>0</v>
      </c>
      <c r="P24" s="320">
        <f xml:space="preserve"> InpActive!P$147</f>
        <v>0</v>
      </c>
      <c r="Q24" s="320">
        <f xml:space="preserve"> InpActive!Q$147</f>
        <v>0</v>
      </c>
      <c r="R24" s="320">
        <f xml:space="preserve"> InpActive!R$147</f>
        <v>0</v>
      </c>
      <c r="S24" s="320">
        <f xml:space="preserve"> InpActive!S$147</f>
        <v>0</v>
      </c>
      <c r="T24" s="320">
        <f xml:space="preserve"> InpActive!T$147</f>
        <v>0</v>
      </c>
      <c r="U24" s="320">
        <f xml:space="preserve"> InpActive!U$147</f>
        <v>0</v>
      </c>
      <c r="V24" s="320">
        <f xml:space="preserve"> InpActive!V$147</f>
        <v>0</v>
      </c>
      <c r="W24" s="320">
        <f xml:space="preserve"> InpActive!W$147</f>
        <v>0</v>
      </c>
      <c r="X24" s="320">
        <f xml:space="preserve"> InpActive!X$147</f>
        <v>0</v>
      </c>
    </row>
    <row r="25" spans="1:24" x14ac:dyDescent="0.2">
      <c r="B25" s="97"/>
      <c r="E25" s="154" t="str">
        <f>E24</f>
        <v>Allowed revenue starting point in FD24 - additional control 2</v>
      </c>
      <c r="F25" s="91"/>
      <c r="G25" s="91"/>
      <c r="H25" s="154">
        <f xml:space="preserve"> SUM( J24:T24 )</f>
        <v>0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</row>
    <row r="26" spans="1:24" s="88" customFormat="1" x14ac:dyDescent="0.2">
      <c r="A26" s="96"/>
      <c r="B26" s="97"/>
      <c r="C26" s="98"/>
      <c r="E26" s="169" t="str">
        <f xml:space="preserve"> Time!E$45</f>
        <v>1st Forecast Period Flag</v>
      </c>
      <c r="F26" s="169"/>
      <c r="G26" s="169" t="str">
        <f xml:space="preserve"> Time!G$45</f>
        <v>flag</v>
      </c>
      <c r="H26" s="169"/>
      <c r="I26" s="169"/>
      <c r="J26" s="169">
        <f xml:space="preserve"> Time!J$45</f>
        <v>0</v>
      </c>
      <c r="K26" s="169">
        <f xml:space="preserve"> Time!K$45</f>
        <v>0</v>
      </c>
      <c r="L26" s="169">
        <f xml:space="preserve"> Time!L$45</f>
        <v>0</v>
      </c>
      <c r="M26" s="169">
        <f xml:space="preserve"> Time!M$45</f>
        <v>0</v>
      </c>
      <c r="N26" s="169">
        <f xml:space="preserve"> Time!N$45</f>
        <v>0</v>
      </c>
      <c r="O26" s="169">
        <f xml:space="preserve"> Time!O$45</f>
        <v>0</v>
      </c>
      <c r="P26" s="169">
        <f xml:space="preserve"> Time!P$45</f>
        <v>0</v>
      </c>
      <c r="Q26" s="169">
        <f xml:space="preserve"> Time!Q$45</f>
        <v>0</v>
      </c>
      <c r="R26" s="169">
        <f xml:space="preserve"> Time!R$45</f>
        <v>0</v>
      </c>
      <c r="S26" s="169">
        <f xml:space="preserve"> Time!S$45</f>
        <v>0</v>
      </c>
      <c r="T26" s="169">
        <f xml:space="preserve"> Time!T$45</f>
        <v>1</v>
      </c>
      <c r="U26" s="169">
        <f xml:space="preserve"> Time!U$45</f>
        <v>0</v>
      </c>
      <c r="V26" s="169">
        <f xml:space="preserve"> Time!V$45</f>
        <v>0</v>
      </c>
      <c r="W26" s="169">
        <f xml:space="preserve"> Time!W$45</f>
        <v>0</v>
      </c>
      <c r="X26" s="169">
        <f xml:space="preserve"> Time!X$45</f>
        <v>0</v>
      </c>
    </row>
    <row r="27" spans="1:24" s="88" customFormat="1" x14ac:dyDescent="0.2">
      <c r="A27" s="96"/>
      <c r="B27" s="97"/>
      <c r="C27" s="98"/>
      <c r="E27" s="316" t="str">
        <f xml:space="preserve"> InpActive!E$148</f>
        <v>K factors (last determined) - additional control 2</v>
      </c>
      <c r="F27" s="316">
        <f xml:space="preserve"> InpActive!F$148</f>
        <v>0</v>
      </c>
      <c r="G27" s="316" t="str">
        <f xml:space="preserve"> InpActive!G$148</f>
        <v>Number</v>
      </c>
      <c r="H27" s="316">
        <f xml:space="preserve"> InpActive!H$148</f>
        <v>0</v>
      </c>
      <c r="I27" s="316">
        <f xml:space="preserve"> InpActive!I$148</f>
        <v>0</v>
      </c>
      <c r="J27" s="295">
        <f xml:space="preserve"> InpActive!J$148</f>
        <v>0</v>
      </c>
      <c r="K27" s="295">
        <f xml:space="preserve"> InpActive!K$148</f>
        <v>0</v>
      </c>
      <c r="L27" s="295">
        <f xml:space="preserve"> InpActive!L$148</f>
        <v>0</v>
      </c>
      <c r="M27" s="295">
        <f xml:space="preserve"> InpActive!M$148</f>
        <v>0</v>
      </c>
      <c r="N27" s="295">
        <f xml:space="preserve"> InpActive!N$148</f>
        <v>0</v>
      </c>
      <c r="O27" s="295">
        <f xml:space="preserve"> InpActive!O$148</f>
        <v>0</v>
      </c>
      <c r="P27" s="295">
        <f xml:space="preserve"> InpActive!P$148</f>
        <v>0</v>
      </c>
      <c r="Q27" s="295">
        <f xml:space="preserve"> InpActive!Q$148</f>
        <v>0</v>
      </c>
      <c r="R27" s="295">
        <f xml:space="preserve"> InpActive!R$148</f>
        <v>0</v>
      </c>
      <c r="S27" s="295">
        <f xml:space="preserve"> InpActive!S$148</f>
        <v>0</v>
      </c>
      <c r="T27" s="295">
        <f xml:space="preserve"> InpActive!T$148</f>
        <v>0</v>
      </c>
      <c r="U27" s="295">
        <f xml:space="preserve"> InpActive!U$148</f>
        <v>0</v>
      </c>
      <c r="V27" s="295">
        <f xml:space="preserve"> InpActive!V$148</f>
        <v>0</v>
      </c>
      <c r="W27" s="295">
        <f xml:space="preserve"> InpActive!W$148</f>
        <v>0</v>
      </c>
      <c r="X27" s="295">
        <f xml:space="preserve"> InpActive!X$148</f>
        <v>0</v>
      </c>
    </row>
    <row r="28" spans="1:24" x14ac:dyDescent="0.2">
      <c r="B28" s="97"/>
      <c r="E28" s="95" t="s">
        <v>747</v>
      </c>
      <c r="F28" s="95"/>
      <c r="G28" s="95" t="s">
        <v>583</v>
      </c>
      <c r="H28" s="95"/>
      <c r="I28" s="95"/>
      <c r="J28" s="95">
        <f>J27/100</f>
        <v>0</v>
      </c>
      <c r="K28" s="95">
        <f t="shared" ref="K28:X28" si="3">K27/100</f>
        <v>0</v>
      </c>
      <c r="L28" s="95">
        <f t="shared" si="3"/>
        <v>0</v>
      </c>
      <c r="M28" s="95">
        <f t="shared" si="3"/>
        <v>0</v>
      </c>
      <c r="N28" s="95">
        <f t="shared" si="3"/>
        <v>0</v>
      </c>
      <c r="O28" s="95">
        <f t="shared" si="3"/>
        <v>0</v>
      </c>
      <c r="P28" s="95">
        <f t="shared" si="3"/>
        <v>0</v>
      </c>
      <c r="Q28" s="95">
        <f t="shared" si="3"/>
        <v>0</v>
      </c>
      <c r="R28" s="95">
        <f t="shared" si="3"/>
        <v>0</v>
      </c>
      <c r="S28" s="95">
        <f t="shared" si="3"/>
        <v>0</v>
      </c>
      <c r="T28" s="95">
        <f t="shared" si="3"/>
        <v>0</v>
      </c>
      <c r="U28" s="95">
        <f t="shared" si="3"/>
        <v>0</v>
      </c>
      <c r="V28" s="95">
        <f t="shared" si="3"/>
        <v>0</v>
      </c>
      <c r="W28" s="95">
        <f t="shared" si="3"/>
        <v>0</v>
      </c>
      <c r="X28" s="95">
        <f t="shared" si="3"/>
        <v>0</v>
      </c>
    </row>
    <row r="29" spans="1:24" s="86" customFormat="1" x14ac:dyDescent="0.2">
      <c r="A29" s="92"/>
      <c r="B29" s="93"/>
      <c r="C29" s="94"/>
      <c r="D29" s="75"/>
      <c r="E29" s="313" t="str">
        <f xml:space="preserve"> Index!E$12</f>
        <v>November CPIH annual inflation figures</v>
      </c>
      <c r="F29" s="313">
        <f xml:space="preserve"> Index!F$12</f>
        <v>0</v>
      </c>
      <c r="G29" s="313" t="str">
        <f xml:space="preserve"> Index!G$12</f>
        <v>Percentage</v>
      </c>
      <c r="H29" s="313">
        <f xml:space="preserve"> Index!H$12</f>
        <v>0</v>
      </c>
      <c r="I29" s="313">
        <f xml:space="preserve"> Index!I$12</f>
        <v>0</v>
      </c>
      <c r="J29" s="313">
        <f xml:space="preserve"> Index!J$12</f>
        <v>0</v>
      </c>
      <c r="K29" s="313">
        <f xml:space="preserve"> Index!K$12</f>
        <v>0</v>
      </c>
      <c r="L29" s="313">
        <f xml:space="preserve"> Index!L$12</f>
        <v>1.4955134596211339E-2</v>
      </c>
      <c r="M29" s="313">
        <f xml:space="preserve"> Index!M$12</f>
        <v>0</v>
      </c>
      <c r="N29" s="313">
        <f xml:space="preserve"> Index!N$12</f>
        <v>0</v>
      </c>
      <c r="O29" s="313">
        <f xml:space="preserve"> Index!O$12</f>
        <v>0</v>
      </c>
      <c r="P29" s="313">
        <f xml:space="preserve"> Index!P$12</f>
        <v>0</v>
      </c>
      <c r="Q29" s="313">
        <f xml:space="preserve"> Index!Q$12</f>
        <v>0</v>
      </c>
      <c r="R29" s="313">
        <f xml:space="preserve"> Index!R$12</f>
        <v>0</v>
      </c>
      <c r="S29" s="313">
        <f xml:space="preserve"> Index!S$12</f>
        <v>0</v>
      </c>
      <c r="T29" s="313">
        <f xml:space="preserve"> Index!T$12</f>
        <v>0</v>
      </c>
      <c r="U29" s="313">
        <f xml:space="preserve"> Index!U$12</f>
        <v>0</v>
      </c>
      <c r="V29" s="313">
        <f xml:space="preserve"> Index!V$12</f>
        <v>0</v>
      </c>
      <c r="W29" s="313">
        <f xml:space="preserve"> Index!W$12</f>
        <v>0</v>
      </c>
      <c r="X29" s="313">
        <f xml:space="preserve"> Index!X$12</f>
        <v>0</v>
      </c>
    </row>
    <row r="30" spans="1:24" s="91" customFormat="1" x14ac:dyDescent="0.2">
      <c r="A30" s="99"/>
      <c r="B30" s="100"/>
      <c r="C30" s="101"/>
      <c r="E30" s="154" t="s">
        <v>748</v>
      </c>
      <c r="F30" s="154"/>
      <c r="G30" s="154" t="s">
        <v>602</v>
      </c>
      <c r="H30" s="154"/>
      <c r="I30" s="154"/>
      <c r="J30" s="154">
        <f xml:space="preserve"> IF(J26=1, $H25 * (1+J29+J28), I30 *  (1+J29+J28))</f>
        <v>0</v>
      </c>
      <c r="K30" s="154">
        <f xml:space="preserve"> IF(K26=1, $H25 * (1+K29+K28), J30 *  (1+K29+K28))</f>
        <v>0</v>
      </c>
      <c r="L30" s="154">
        <f t="shared" ref="L30:U30" si="4" xml:space="preserve"> IF(L26=1, $H25 * (1+L29+L28), K30 *  (1+L29+L28))</f>
        <v>0</v>
      </c>
      <c r="M30" s="154">
        <f t="shared" si="4"/>
        <v>0</v>
      </c>
      <c r="N30" s="154">
        <f t="shared" si="4"/>
        <v>0</v>
      </c>
      <c r="O30" s="154">
        <f t="shared" si="4"/>
        <v>0</v>
      </c>
      <c r="P30" s="154">
        <f xml:space="preserve"> IF(P26=1, $H25 * (1+P29+P28), O30 *  (1+P29+P28))</f>
        <v>0</v>
      </c>
      <c r="Q30" s="154">
        <f t="shared" si="4"/>
        <v>0</v>
      </c>
      <c r="R30" s="154">
        <f t="shared" si="4"/>
        <v>0</v>
      </c>
      <c r="S30" s="154">
        <f t="shared" si="4"/>
        <v>0</v>
      </c>
      <c r="T30" s="154">
        <f t="shared" si="4"/>
        <v>0</v>
      </c>
      <c r="U30" s="154">
        <f t="shared" si="4"/>
        <v>0</v>
      </c>
      <c r="V30" s="154">
        <f xml:space="preserve"> IF(V26=1, $H25 * (1+V29+V28), U30 *  (1+V29+V28))</f>
        <v>0</v>
      </c>
      <c r="W30" s="154">
        <f xml:space="preserve"> IF(W26=1, $H25 * (1+W29+W28), V30 *  (1+W29+W28))</f>
        <v>0</v>
      </c>
      <c r="X30" s="154">
        <f xml:space="preserve"> IF(X26=1, $H25 * (1+X29+X28), W30 *  (1+X29+X28))</f>
        <v>0</v>
      </c>
    </row>
    <row r="31" spans="1:24" x14ac:dyDescent="0.2">
      <c r="B31" s="97"/>
      <c r="E31" s="91"/>
      <c r="O31" s="252"/>
      <c r="P31" s="252"/>
      <c r="Q31" s="252"/>
      <c r="R31" s="252"/>
      <c r="S31" s="252"/>
      <c r="T31" s="252"/>
      <c r="U31" s="252"/>
      <c r="V31" s="252"/>
      <c r="W31" s="252"/>
      <c r="X31" s="252"/>
    </row>
    <row r="32" spans="1:24" s="154" customFormat="1" x14ac:dyDescent="0.2">
      <c r="A32" s="155"/>
      <c r="B32" s="156" t="s">
        <v>749</v>
      </c>
      <c r="C32" s="157"/>
    </row>
    <row r="33" spans="1:24" s="154" customFormat="1" x14ac:dyDescent="0.2">
      <c r="A33" s="155"/>
      <c r="B33" s="156"/>
      <c r="E33" s="154" t="str">
        <f xml:space="preserve"> E$20</f>
        <v>Payments after abatements and deferrals and other bespoke adjustments - additional control 2</v>
      </c>
      <c r="F33" s="154">
        <f t="shared" ref="F33:X33" si="5" xml:space="preserve"> F$20</f>
        <v>0</v>
      </c>
      <c r="G33" s="154" t="str">
        <f t="shared" si="5"/>
        <v>£m (2017-18 FYA CPIH prices)</v>
      </c>
      <c r="H33" s="154">
        <f t="shared" si="5"/>
        <v>0</v>
      </c>
      <c r="I33" s="154">
        <f t="shared" si="5"/>
        <v>0</v>
      </c>
      <c r="J33" s="154">
        <f t="shared" si="5"/>
        <v>0</v>
      </c>
      <c r="K33" s="154">
        <f t="shared" si="5"/>
        <v>0</v>
      </c>
      <c r="L33" s="154">
        <f t="shared" si="5"/>
        <v>0</v>
      </c>
      <c r="M33" s="154">
        <f t="shared" si="5"/>
        <v>0</v>
      </c>
      <c r="N33" s="154">
        <f t="shared" si="5"/>
        <v>0</v>
      </c>
      <c r="O33" s="154">
        <f t="shared" si="5"/>
        <v>0</v>
      </c>
      <c r="P33" s="154">
        <f t="shared" si="5"/>
        <v>0</v>
      </c>
      <c r="Q33" s="154">
        <f t="shared" si="5"/>
        <v>0</v>
      </c>
      <c r="R33" s="154">
        <f t="shared" si="5"/>
        <v>0</v>
      </c>
      <c r="S33" s="154">
        <f t="shared" si="5"/>
        <v>0</v>
      </c>
      <c r="T33" s="154">
        <f t="shared" si="5"/>
        <v>0</v>
      </c>
      <c r="U33" s="154">
        <f t="shared" si="5"/>
        <v>0</v>
      </c>
      <c r="V33" s="154">
        <f t="shared" si="5"/>
        <v>0</v>
      </c>
      <c r="W33" s="154">
        <f t="shared" si="5"/>
        <v>0</v>
      </c>
      <c r="X33" s="154">
        <f t="shared" si="5"/>
        <v>0</v>
      </c>
    </row>
    <row r="34" spans="1:24" s="160" customFormat="1" x14ac:dyDescent="0.2">
      <c r="A34" s="158"/>
      <c r="B34" s="159"/>
      <c r="E34" s="298" t="str">
        <f xml:space="preserve"> Index!E$16</f>
        <v>November CPIH cumulative inflation factor</v>
      </c>
      <c r="F34" s="298">
        <f xml:space="preserve"> Index!F$16</f>
        <v>0</v>
      </c>
      <c r="G34" s="298" t="str">
        <f xml:space="preserve"> Index!G$16</f>
        <v>Percentage</v>
      </c>
      <c r="H34" s="298">
        <f xml:space="preserve"> Index!H$16</f>
        <v>0</v>
      </c>
      <c r="I34" s="298">
        <f xml:space="preserve"> Index!I$16</f>
        <v>0</v>
      </c>
      <c r="J34" s="298">
        <f xml:space="preserve"> Index!J$16</f>
        <v>0</v>
      </c>
      <c r="K34" s="298">
        <f xml:space="preserve"> Index!K$16</f>
        <v>0</v>
      </c>
      <c r="L34" s="298">
        <f xml:space="preserve"> Index!L$16</f>
        <v>1</v>
      </c>
      <c r="M34" s="298">
        <f xml:space="preserve"> Index!M$16</f>
        <v>1</v>
      </c>
      <c r="N34" s="298">
        <f xml:space="preserve"> Index!N$16</f>
        <v>1</v>
      </c>
      <c r="O34" s="298">
        <f xml:space="preserve"> Index!O$16</f>
        <v>1</v>
      </c>
      <c r="P34" s="298">
        <f xml:space="preserve"> Index!P$16</f>
        <v>1</v>
      </c>
      <c r="Q34" s="298">
        <f xml:space="preserve"> Index!Q$16</f>
        <v>1</v>
      </c>
      <c r="R34" s="298">
        <f xml:space="preserve"> Index!R$16</f>
        <v>1</v>
      </c>
      <c r="S34" s="298">
        <f xml:space="preserve"> Index!S$16</f>
        <v>1</v>
      </c>
      <c r="T34" s="298">
        <f xml:space="preserve"> Index!T$16</f>
        <v>1</v>
      </c>
      <c r="U34" s="298">
        <f xml:space="preserve"> Index!U$16</f>
        <v>1</v>
      </c>
      <c r="V34" s="298">
        <f xml:space="preserve"> Index!V$16</f>
        <v>1</v>
      </c>
      <c r="W34" s="298">
        <f xml:space="preserve"> Index!W$16</f>
        <v>1</v>
      </c>
      <c r="X34" s="298">
        <f xml:space="preserve"> Index!X$16</f>
        <v>1</v>
      </c>
    </row>
    <row r="35" spans="1:24" s="154" customFormat="1" x14ac:dyDescent="0.2">
      <c r="A35" s="155"/>
      <c r="B35" s="156"/>
      <c r="C35" s="157"/>
      <c r="E35" s="154" t="s">
        <v>750</v>
      </c>
      <c r="G35" s="154" t="s">
        <v>602</v>
      </c>
      <c r="H35" s="154">
        <f xml:space="preserve"> SUM( J35:T35 )</f>
        <v>0</v>
      </c>
      <c r="J35" s="154">
        <f t="shared" ref="J35:X35" si="6" xml:space="preserve"> J33 * J34</f>
        <v>0</v>
      </c>
      <c r="K35" s="154">
        <f t="shared" si="6"/>
        <v>0</v>
      </c>
      <c r="L35" s="154">
        <f t="shared" si="6"/>
        <v>0</v>
      </c>
      <c r="M35" s="154">
        <f t="shared" si="6"/>
        <v>0</v>
      </c>
      <c r="N35" s="154">
        <f t="shared" si="6"/>
        <v>0</v>
      </c>
      <c r="O35" s="154">
        <f t="shared" si="6"/>
        <v>0</v>
      </c>
      <c r="P35" s="154">
        <f t="shared" si="6"/>
        <v>0</v>
      </c>
      <c r="Q35" s="154">
        <f t="shared" si="6"/>
        <v>0</v>
      </c>
      <c r="R35" s="154">
        <f t="shared" si="6"/>
        <v>0</v>
      </c>
      <c r="S35" s="154">
        <f t="shared" si="6"/>
        <v>0</v>
      </c>
      <c r="T35" s="154">
        <f t="shared" si="6"/>
        <v>0</v>
      </c>
      <c r="U35" s="154">
        <f t="shared" si="6"/>
        <v>0</v>
      </c>
      <c r="V35" s="154">
        <f t="shared" si="6"/>
        <v>0</v>
      </c>
      <c r="W35" s="154">
        <f t="shared" si="6"/>
        <v>0</v>
      </c>
      <c r="X35" s="154">
        <f t="shared" si="6"/>
        <v>0</v>
      </c>
    </row>
    <row r="36" spans="1:24" s="154" customFormat="1" x14ac:dyDescent="0.2">
      <c r="A36" s="155"/>
      <c r="B36" s="156"/>
      <c r="C36" s="157"/>
    </row>
    <row r="37" spans="1:24" s="154" customFormat="1" x14ac:dyDescent="0.2">
      <c r="A37" s="155"/>
      <c r="B37" s="156" t="s">
        <v>751</v>
      </c>
      <c r="C37" s="157"/>
    </row>
    <row r="38" spans="1:24" s="160" customFormat="1" x14ac:dyDescent="0.2">
      <c r="A38" s="158"/>
      <c r="B38" s="156"/>
      <c r="E38" s="298" t="str">
        <f xml:space="preserve"> InpActive!E$90</f>
        <v>Marginal tax rate</v>
      </c>
      <c r="F38" s="298">
        <f xml:space="preserve"> InpActive!F$90</f>
        <v>0</v>
      </c>
      <c r="G38" s="298" t="str">
        <f xml:space="preserve"> InpActive!G$90</f>
        <v>Percentage</v>
      </c>
      <c r="H38" s="298">
        <f xml:space="preserve"> InpActive!H$90</f>
        <v>0</v>
      </c>
      <c r="I38" s="298">
        <f xml:space="preserve"> InpActive!I$90</f>
        <v>0</v>
      </c>
      <c r="J38" s="298">
        <f xml:space="preserve"> InpActive!J$90</f>
        <v>0</v>
      </c>
      <c r="K38" s="298">
        <f xml:space="preserve"> InpActive!K$90</f>
        <v>0</v>
      </c>
      <c r="L38" s="298">
        <f xml:space="preserve"> InpActive!L$90</f>
        <v>0</v>
      </c>
      <c r="M38" s="298">
        <f xml:space="preserve"> InpActive!M$90</f>
        <v>0</v>
      </c>
      <c r="N38" s="298">
        <f xml:space="preserve"> InpActive!N$90</f>
        <v>0</v>
      </c>
      <c r="O38" s="298">
        <f xml:space="preserve"> InpActive!O$90</f>
        <v>0</v>
      </c>
      <c r="P38" s="298">
        <f xml:space="preserve"> InpActive!P$90</f>
        <v>0</v>
      </c>
      <c r="Q38" s="298">
        <f xml:space="preserve"> InpActive!Q$90</f>
        <v>0</v>
      </c>
      <c r="R38" s="298">
        <f xml:space="preserve"> InpActive!R$90</f>
        <v>0</v>
      </c>
      <c r="S38" s="298">
        <f xml:space="preserve"> InpActive!S$90</f>
        <v>0</v>
      </c>
      <c r="T38" s="298">
        <f xml:space="preserve"> InpActive!T$90</f>
        <v>0</v>
      </c>
      <c r="U38" s="298">
        <f xml:space="preserve"> InpActive!U$90</f>
        <v>0</v>
      </c>
      <c r="V38" s="298">
        <f xml:space="preserve"> InpActive!V$90</f>
        <v>0</v>
      </c>
      <c r="W38" s="298">
        <f xml:space="preserve"> InpActive!W$90</f>
        <v>0</v>
      </c>
      <c r="X38" s="298">
        <f xml:space="preserve"> InpActive!X$90</f>
        <v>0</v>
      </c>
    </row>
    <row r="39" spans="1:24" s="95" customFormat="1" x14ac:dyDescent="0.2">
      <c r="A39" s="194"/>
      <c r="B39" s="195"/>
      <c r="E39" s="95" t="s">
        <v>752</v>
      </c>
      <c r="G39" s="95" t="s">
        <v>583</v>
      </c>
      <c r="J39" s="95">
        <f xml:space="preserve"> 1 / (1 - J38 ) - 1</f>
        <v>0</v>
      </c>
      <c r="K39" s="95">
        <f t="shared" ref="K39:X39" si="7" xml:space="preserve"> 1 / (1 - K38 ) - 1</f>
        <v>0</v>
      </c>
      <c r="L39" s="95">
        <f t="shared" si="7"/>
        <v>0</v>
      </c>
      <c r="M39" s="95">
        <f t="shared" si="7"/>
        <v>0</v>
      </c>
      <c r="N39" s="95">
        <f t="shared" si="7"/>
        <v>0</v>
      </c>
      <c r="O39" s="95">
        <f t="shared" si="7"/>
        <v>0</v>
      </c>
      <c r="P39" s="95">
        <f t="shared" si="7"/>
        <v>0</v>
      </c>
      <c r="Q39" s="95">
        <f t="shared" si="7"/>
        <v>0</v>
      </c>
      <c r="R39" s="95">
        <f t="shared" si="7"/>
        <v>0</v>
      </c>
      <c r="S39" s="95">
        <f t="shared" si="7"/>
        <v>0</v>
      </c>
      <c r="T39" s="95">
        <f t="shared" si="7"/>
        <v>0</v>
      </c>
      <c r="U39" s="95">
        <f t="shared" si="7"/>
        <v>0</v>
      </c>
      <c r="V39" s="95">
        <f t="shared" si="7"/>
        <v>0</v>
      </c>
      <c r="W39" s="95">
        <f t="shared" si="7"/>
        <v>0</v>
      </c>
      <c r="X39" s="95">
        <f t="shared" si="7"/>
        <v>0</v>
      </c>
    </row>
    <row r="40" spans="1:24" s="154" customFormat="1" x14ac:dyDescent="0.2">
      <c r="A40" s="155"/>
      <c r="B40" s="156"/>
      <c r="C40" s="157"/>
    </row>
    <row r="41" spans="1:24" s="154" customFormat="1" x14ac:dyDescent="0.2">
      <c r="A41" s="155"/>
      <c r="B41" s="156"/>
      <c r="C41" s="157"/>
      <c r="E41" s="154" t="str">
        <f t="shared" ref="E41:X41" si="8" xml:space="preserve"> E$35</f>
        <v>ODI value nominal prices</v>
      </c>
      <c r="F41" s="154">
        <f t="shared" si="8"/>
        <v>0</v>
      </c>
      <c r="G41" s="154" t="str">
        <f t="shared" si="8"/>
        <v>£m (nominal)</v>
      </c>
      <c r="H41" s="154">
        <f t="shared" si="8"/>
        <v>0</v>
      </c>
      <c r="I41" s="154">
        <f t="shared" si="8"/>
        <v>0</v>
      </c>
      <c r="J41" s="154">
        <f t="shared" si="8"/>
        <v>0</v>
      </c>
      <c r="K41" s="154">
        <f t="shared" si="8"/>
        <v>0</v>
      </c>
      <c r="L41" s="154">
        <f t="shared" si="8"/>
        <v>0</v>
      </c>
      <c r="M41" s="154">
        <f t="shared" si="8"/>
        <v>0</v>
      </c>
      <c r="N41" s="154">
        <f t="shared" si="8"/>
        <v>0</v>
      </c>
      <c r="O41" s="154">
        <f t="shared" si="8"/>
        <v>0</v>
      </c>
      <c r="P41" s="154">
        <f t="shared" si="8"/>
        <v>0</v>
      </c>
      <c r="Q41" s="154">
        <f t="shared" si="8"/>
        <v>0</v>
      </c>
      <c r="R41" s="154">
        <f t="shared" si="8"/>
        <v>0</v>
      </c>
      <c r="S41" s="154">
        <f t="shared" si="8"/>
        <v>0</v>
      </c>
      <c r="T41" s="154">
        <f t="shared" si="8"/>
        <v>0</v>
      </c>
      <c r="U41" s="154">
        <f t="shared" si="8"/>
        <v>0</v>
      </c>
      <c r="V41" s="154">
        <f t="shared" si="8"/>
        <v>0</v>
      </c>
      <c r="W41" s="154">
        <f t="shared" si="8"/>
        <v>0</v>
      </c>
      <c r="X41" s="154">
        <f t="shared" si="8"/>
        <v>0</v>
      </c>
    </row>
    <row r="42" spans="1:24" s="95" customFormat="1" x14ac:dyDescent="0.2">
      <c r="A42" s="194"/>
      <c r="B42" s="195"/>
      <c r="E42" s="95" t="str">
        <f t="shared" ref="E42:X42" si="9" xml:space="preserve"> E$39</f>
        <v>Tax on Tax geometric uplift</v>
      </c>
      <c r="F42" s="95">
        <f t="shared" si="9"/>
        <v>0</v>
      </c>
      <c r="G42" s="95" t="str">
        <f t="shared" si="9"/>
        <v>Percentage</v>
      </c>
      <c r="H42" s="95">
        <f t="shared" si="9"/>
        <v>0</v>
      </c>
      <c r="I42" s="95">
        <f t="shared" si="9"/>
        <v>0</v>
      </c>
      <c r="J42" s="95">
        <f t="shared" si="9"/>
        <v>0</v>
      </c>
      <c r="K42" s="95">
        <f t="shared" si="9"/>
        <v>0</v>
      </c>
      <c r="L42" s="95">
        <f t="shared" si="9"/>
        <v>0</v>
      </c>
      <c r="M42" s="95">
        <f t="shared" si="9"/>
        <v>0</v>
      </c>
      <c r="N42" s="95">
        <f t="shared" si="9"/>
        <v>0</v>
      </c>
      <c r="O42" s="95">
        <f t="shared" si="9"/>
        <v>0</v>
      </c>
      <c r="P42" s="95">
        <f t="shared" si="9"/>
        <v>0</v>
      </c>
      <c r="Q42" s="95">
        <f t="shared" si="9"/>
        <v>0</v>
      </c>
      <c r="R42" s="95">
        <f t="shared" si="9"/>
        <v>0</v>
      </c>
      <c r="S42" s="95">
        <f t="shared" si="9"/>
        <v>0</v>
      </c>
      <c r="T42" s="95">
        <f t="shared" si="9"/>
        <v>0</v>
      </c>
      <c r="U42" s="95">
        <f t="shared" si="9"/>
        <v>0</v>
      </c>
      <c r="V42" s="95">
        <f t="shared" si="9"/>
        <v>0</v>
      </c>
      <c r="W42" s="95">
        <f t="shared" si="9"/>
        <v>0</v>
      </c>
      <c r="X42" s="95">
        <f t="shared" si="9"/>
        <v>0</v>
      </c>
    </row>
    <row r="43" spans="1:24" s="154" customFormat="1" x14ac:dyDescent="0.2">
      <c r="A43" s="155"/>
      <c r="B43" s="156"/>
      <c r="C43" s="157"/>
      <c r="E43" s="154" t="s">
        <v>753</v>
      </c>
      <c r="G43" s="154" t="s">
        <v>602</v>
      </c>
      <c r="H43" s="154">
        <f xml:space="preserve"> SUM( J43:T43 )</f>
        <v>0</v>
      </c>
      <c r="J43" s="154">
        <f t="shared" ref="J43:X43" si="10" xml:space="preserve"> J41 * J42</f>
        <v>0</v>
      </c>
      <c r="K43" s="154">
        <f t="shared" si="10"/>
        <v>0</v>
      </c>
      <c r="L43" s="154">
        <f t="shared" si="10"/>
        <v>0</v>
      </c>
      <c r="M43" s="154">
        <f t="shared" si="10"/>
        <v>0</v>
      </c>
      <c r="N43" s="154">
        <f t="shared" si="10"/>
        <v>0</v>
      </c>
      <c r="O43" s="154">
        <f t="shared" si="10"/>
        <v>0</v>
      </c>
      <c r="P43" s="154">
        <f t="shared" si="10"/>
        <v>0</v>
      </c>
      <c r="Q43" s="154">
        <f t="shared" si="10"/>
        <v>0</v>
      </c>
      <c r="R43" s="154">
        <f t="shared" si="10"/>
        <v>0</v>
      </c>
      <c r="S43" s="154">
        <f t="shared" si="10"/>
        <v>0</v>
      </c>
      <c r="T43" s="154">
        <f t="shared" si="10"/>
        <v>0</v>
      </c>
      <c r="U43" s="154">
        <f t="shared" si="10"/>
        <v>0</v>
      </c>
      <c r="V43" s="154">
        <f t="shared" si="10"/>
        <v>0</v>
      </c>
      <c r="W43" s="154">
        <f t="shared" si="10"/>
        <v>0</v>
      </c>
      <c r="X43" s="154">
        <f t="shared" si="10"/>
        <v>0</v>
      </c>
    </row>
    <row r="44" spans="1:24" s="154" customFormat="1" x14ac:dyDescent="0.2">
      <c r="A44" s="155"/>
      <c r="B44" s="156"/>
      <c r="C44" s="157"/>
    </row>
    <row r="45" spans="1:24" s="154" customFormat="1" x14ac:dyDescent="0.2">
      <c r="A45" s="155"/>
      <c r="B45" s="156"/>
      <c r="C45" s="157"/>
      <c r="E45" s="154" t="str">
        <f t="shared" ref="E45:X45" si="11" xml:space="preserve"> E$35</f>
        <v>ODI value nominal prices</v>
      </c>
      <c r="F45" s="154">
        <f t="shared" si="11"/>
        <v>0</v>
      </c>
      <c r="G45" s="154" t="str">
        <f t="shared" si="11"/>
        <v>£m (nominal)</v>
      </c>
      <c r="H45" s="154">
        <f t="shared" si="11"/>
        <v>0</v>
      </c>
      <c r="I45" s="154">
        <f t="shared" si="11"/>
        <v>0</v>
      </c>
      <c r="J45" s="162">
        <f t="shared" si="11"/>
        <v>0</v>
      </c>
      <c r="K45" s="162">
        <f t="shared" si="11"/>
        <v>0</v>
      </c>
      <c r="L45" s="162">
        <f t="shared" si="11"/>
        <v>0</v>
      </c>
      <c r="M45" s="162">
        <f t="shared" si="11"/>
        <v>0</v>
      </c>
      <c r="N45" s="162">
        <f t="shared" si="11"/>
        <v>0</v>
      </c>
      <c r="O45" s="162">
        <f t="shared" si="11"/>
        <v>0</v>
      </c>
      <c r="P45" s="162">
        <f t="shared" si="11"/>
        <v>0</v>
      </c>
      <c r="Q45" s="162">
        <f t="shared" si="11"/>
        <v>0</v>
      </c>
      <c r="R45" s="162">
        <f t="shared" si="11"/>
        <v>0</v>
      </c>
      <c r="S45" s="162">
        <f t="shared" si="11"/>
        <v>0</v>
      </c>
      <c r="T45" s="162">
        <f t="shared" si="11"/>
        <v>0</v>
      </c>
      <c r="U45" s="162">
        <f t="shared" si="11"/>
        <v>0</v>
      </c>
      <c r="V45" s="162">
        <f t="shared" si="11"/>
        <v>0</v>
      </c>
      <c r="W45" s="162">
        <f t="shared" si="11"/>
        <v>0</v>
      </c>
      <c r="X45" s="162">
        <f t="shared" si="11"/>
        <v>0</v>
      </c>
    </row>
    <row r="46" spans="1:24" s="154" customFormat="1" x14ac:dyDescent="0.2">
      <c r="A46" s="155"/>
      <c r="B46" s="156"/>
      <c r="C46" s="157"/>
      <c r="E46" s="154" t="str">
        <f t="shared" ref="E46:X46" si="12" xml:space="preserve"> E$43</f>
        <v>Tax on nominal ODI</v>
      </c>
      <c r="F46" s="154">
        <f t="shared" si="12"/>
        <v>0</v>
      </c>
      <c r="G46" s="154" t="str">
        <f t="shared" si="12"/>
        <v>£m (nominal)</v>
      </c>
      <c r="H46" s="154">
        <f t="shared" si="12"/>
        <v>0</v>
      </c>
      <c r="I46" s="154">
        <f t="shared" si="12"/>
        <v>0</v>
      </c>
      <c r="J46" s="162">
        <f t="shared" si="12"/>
        <v>0</v>
      </c>
      <c r="K46" s="162">
        <f t="shared" si="12"/>
        <v>0</v>
      </c>
      <c r="L46" s="162">
        <f t="shared" si="12"/>
        <v>0</v>
      </c>
      <c r="M46" s="162">
        <f t="shared" si="12"/>
        <v>0</v>
      </c>
      <c r="N46" s="162">
        <f t="shared" si="12"/>
        <v>0</v>
      </c>
      <c r="O46" s="162">
        <f t="shared" si="12"/>
        <v>0</v>
      </c>
      <c r="P46" s="162">
        <f t="shared" si="12"/>
        <v>0</v>
      </c>
      <c r="Q46" s="162">
        <f t="shared" si="12"/>
        <v>0</v>
      </c>
      <c r="R46" s="162">
        <f t="shared" si="12"/>
        <v>0</v>
      </c>
      <c r="S46" s="162">
        <f t="shared" si="12"/>
        <v>0</v>
      </c>
      <c r="T46" s="162">
        <f t="shared" si="12"/>
        <v>0</v>
      </c>
      <c r="U46" s="162">
        <f t="shared" si="12"/>
        <v>0</v>
      </c>
      <c r="V46" s="162">
        <f t="shared" si="12"/>
        <v>0</v>
      </c>
      <c r="W46" s="162">
        <f t="shared" si="12"/>
        <v>0</v>
      </c>
      <c r="X46" s="162">
        <f t="shared" si="12"/>
        <v>0</v>
      </c>
    </row>
    <row r="47" spans="1:24" s="154" customFormat="1" x14ac:dyDescent="0.2">
      <c r="A47" s="155"/>
      <c r="B47" s="156"/>
      <c r="C47" s="157"/>
      <c r="E47" s="154" t="s">
        <v>754</v>
      </c>
      <c r="G47" s="154" t="s">
        <v>602</v>
      </c>
      <c r="H47" s="162">
        <f xml:space="preserve"> H45 + H46</f>
        <v>0</v>
      </c>
      <c r="J47" s="162">
        <f xml:space="preserve"> J45 + J46</f>
        <v>0</v>
      </c>
      <c r="K47" s="162">
        <f t="shared" ref="K47:X47" si="13" xml:space="preserve"> K45 + K46</f>
        <v>0</v>
      </c>
      <c r="L47" s="162">
        <f t="shared" si="13"/>
        <v>0</v>
      </c>
      <c r="M47" s="162">
        <f t="shared" si="13"/>
        <v>0</v>
      </c>
      <c r="N47" s="162">
        <f t="shared" si="13"/>
        <v>0</v>
      </c>
      <c r="O47" s="162">
        <f t="shared" si="13"/>
        <v>0</v>
      </c>
      <c r="P47" s="162">
        <f t="shared" si="13"/>
        <v>0</v>
      </c>
      <c r="Q47" s="162">
        <f t="shared" si="13"/>
        <v>0</v>
      </c>
      <c r="R47" s="162">
        <f t="shared" si="13"/>
        <v>0</v>
      </c>
      <c r="S47" s="162">
        <f t="shared" si="13"/>
        <v>0</v>
      </c>
      <c r="T47" s="162">
        <f t="shared" si="13"/>
        <v>0</v>
      </c>
      <c r="U47" s="162">
        <f t="shared" si="13"/>
        <v>0</v>
      </c>
      <c r="V47" s="162">
        <f t="shared" si="13"/>
        <v>0</v>
      </c>
      <c r="W47" s="162">
        <f t="shared" si="13"/>
        <v>0</v>
      </c>
      <c r="X47" s="162">
        <f t="shared" si="13"/>
        <v>0</v>
      </c>
    </row>
    <row r="48" spans="1:24" s="154" customFormat="1" x14ac:dyDescent="0.2">
      <c r="A48" s="155"/>
      <c r="B48" s="156"/>
      <c r="C48" s="157"/>
    </row>
    <row r="49" spans="1:24" s="154" customFormat="1" x14ac:dyDescent="0.2">
      <c r="A49" s="155"/>
      <c r="B49" s="156"/>
      <c r="C49" s="157"/>
      <c r="E49" s="154" t="str">
        <f t="shared" ref="E49:X49" si="14" xml:space="preserve"> E$30</f>
        <v>Allowed revenue</v>
      </c>
      <c r="F49" s="154">
        <f t="shared" si="14"/>
        <v>0</v>
      </c>
      <c r="G49" s="154" t="str">
        <f t="shared" si="14"/>
        <v>£m (nominal)</v>
      </c>
      <c r="H49" s="154">
        <f t="shared" si="14"/>
        <v>0</v>
      </c>
      <c r="I49" s="154">
        <f t="shared" si="14"/>
        <v>0</v>
      </c>
      <c r="J49" s="162">
        <f t="shared" si="14"/>
        <v>0</v>
      </c>
      <c r="K49" s="162">
        <f t="shared" si="14"/>
        <v>0</v>
      </c>
      <c r="L49" s="162">
        <f t="shared" si="14"/>
        <v>0</v>
      </c>
      <c r="M49" s="162">
        <f t="shared" si="14"/>
        <v>0</v>
      </c>
      <c r="N49" s="162">
        <f t="shared" si="14"/>
        <v>0</v>
      </c>
      <c r="O49" s="162">
        <f t="shared" si="14"/>
        <v>0</v>
      </c>
      <c r="P49" s="162">
        <f t="shared" si="14"/>
        <v>0</v>
      </c>
      <c r="Q49" s="162">
        <f t="shared" si="14"/>
        <v>0</v>
      </c>
      <c r="R49" s="162">
        <f t="shared" si="14"/>
        <v>0</v>
      </c>
      <c r="S49" s="162">
        <f t="shared" si="14"/>
        <v>0</v>
      </c>
      <c r="T49" s="162">
        <f t="shared" si="14"/>
        <v>0</v>
      </c>
      <c r="U49" s="162">
        <f t="shared" si="14"/>
        <v>0</v>
      </c>
      <c r="V49" s="162">
        <f t="shared" si="14"/>
        <v>0</v>
      </c>
      <c r="W49" s="162">
        <f t="shared" si="14"/>
        <v>0</v>
      </c>
      <c r="X49" s="162">
        <f t="shared" si="14"/>
        <v>0</v>
      </c>
    </row>
    <row r="50" spans="1:24" s="154" customFormat="1" x14ac:dyDescent="0.2">
      <c r="A50" s="155"/>
      <c r="B50" s="156"/>
      <c r="C50" s="157"/>
      <c r="E50" s="154" t="str">
        <f t="shared" ref="E50:X50" si="15" xml:space="preserve"> E$47</f>
        <v xml:space="preserve">Total value of ODI </v>
      </c>
      <c r="F50" s="154">
        <f t="shared" si="15"/>
        <v>0</v>
      </c>
      <c r="G50" s="154" t="str">
        <f t="shared" si="15"/>
        <v>£m (nominal)</v>
      </c>
      <c r="H50" s="154">
        <f t="shared" si="15"/>
        <v>0</v>
      </c>
      <c r="I50" s="154">
        <f t="shared" si="15"/>
        <v>0</v>
      </c>
      <c r="J50" s="162">
        <f t="shared" si="15"/>
        <v>0</v>
      </c>
      <c r="K50" s="162">
        <f t="shared" si="15"/>
        <v>0</v>
      </c>
      <c r="L50" s="162">
        <f t="shared" si="15"/>
        <v>0</v>
      </c>
      <c r="M50" s="162">
        <f t="shared" si="15"/>
        <v>0</v>
      </c>
      <c r="N50" s="162">
        <f t="shared" si="15"/>
        <v>0</v>
      </c>
      <c r="O50" s="162">
        <f t="shared" si="15"/>
        <v>0</v>
      </c>
      <c r="P50" s="162">
        <f t="shared" si="15"/>
        <v>0</v>
      </c>
      <c r="Q50" s="162">
        <f t="shared" si="15"/>
        <v>0</v>
      </c>
      <c r="R50" s="162">
        <f t="shared" si="15"/>
        <v>0</v>
      </c>
      <c r="S50" s="162">
        <f t="shared" si="15"/>
        <v>0</v>
      </c>
      <c r="T50" s="162">
        <f t="shared" si="15"/>
        <v>0</v>
      </c>
      <c r="U50" s="162">
        <f t="shared" si="15"/>
        <v>0</v>
      </c>
      <c r="V50" s="162">
        <f t="shared" si="15"/>
        <v>0</v>
      </c>
      <c r="W50" s="162">
        <f t="shared" si="15"/>
        <v>0</v>
      </c>
      <c r="X50" s="162">
        <f t="shared" si="15"/>
        <v>0</v>
      </c>
    </row>
    <row r="51" spans="1:24" s="154" customFormat="1" x14ac:dyDescent="0.2">
      <c r="A51" s="155"/>
      <c r="B51" s="156"/>
      <c r="C51" s="157"/>
      <c r="E51" s="154" t="s">
        <v>755</v>
      </c>
      <c r="G51" s="154" t="s">
        <v>602</v>
      </c>
      <c r="H51" s="154">
        <f xml:space="preserve"> SUM( J51:T51 )</f>
        <v>0</v>
      </c>
      <c r="J51" s="162">
        <f xml:space="preserve"> J49 + J50</f>
        <v>0</v>
      </c>
      <c r="K51" s="162">
        <f t="shared" ref="K51:X51" si="16" xml:space="preserve"> K49 + K50</f>
        <v>0</v>
      </c>
      <c r="L51" s="162">
        <f t="shared" si="16"/>
        <v>0</v>
      </c>
      <c r="M51" s="162">
        <f t="shared" si="16"/>
        <v>0</v>
      </c>
      <c r="N51" s="162">
        <f t="shared" si="16"/>
        <v>0</v>
      </c>
      <c r="O51" s="162">
        <f t="shared" si="16"/>
        <v>0</v>
      </c>
      <c r="P51" s="162">
        <f t="shared" si="16"/>
        <v>0</v>
      </c>
      <c r="Q51" s="162">
        <f t="shared" si="16"/>
        <v>0</v>
      </c>
      <c r="R51" s="162">
        <f t="shared" si="16"/>
        <v>0</v>
      </c>
      <c r="S51" s="162">
        <f t="shared" si="16"/>
        <v>0</v>
      </c>
      <c r="T51" s="162">
        <f t="shared" si="16"/>
        <v>0</v>
      </c>
      <c r="U51" s="162">
        <f t="shared" si="16"/>
        <v>0</v>
      </c>
      <c r="V51" s="162">
        <f t="shared" si="16"/>
        <v>0</v>
      </c>
      <c r="W51" s="162">
        <f t="shared" si="16"/>
        <v>0</v>
      </c>
      <c r="X51" s="162">
        <f t="shared" si="16"/>
        <v>0</v>
      </c>
    </row>
    <row r="52" spans="1:24" s="154" customFormat="1" x14ac:dyDescent="0.2">
      <c r="A52" s="155"/>
      <c r="B52" s="156"/>
      <c r="C52" s="157"/>
    </row>
    <row r="53" spans="1:24" s="154" customFormat="1" x14ac:dyDescent="0.2">
      <c r="A53" s="155"/>
      <c r="B53" s="156" t="s">
        <v>756</v>
      </c>
      <c r="C53" s="157"/>
    </row>
    <row r="54" spans="1:24" s="154" customFormat="1" x14ac:dyDescent="0.2">
      <c r="A54" s="155"/>
      <c r="B54" s="156"/>
      <c r="C54" s="157"/>
      <c r="E54" s="154" t="str">
        <f t="shared" ref="E54:X54" si="17" xml:space="preserve"> E$51</f>
        <v>Revised total nominal revenue</v>
      </c>
      <c r="F54" s="154">
        <f t="shared" si="17"/>
        <v>0</v>
      </c>
      <c r="G54" s="154" t="str">
        <f t="shared" si="17"/>
        <v>£m (nominal)</v>
      </c>
      <c r="H54" s="154">
        <f t="shared" si="17"/>
        <v>0</v>
      </c>
      <c r="I54" s="154">
        <f t="shared" si="17"/>
        <v>0</v>
      </c>
      <c r="J54" s="154">
        <f t="shared" si="17"/>
        <v>0</v>
      </c>
      <c r="K54" s="154">
        <f t="shared" si="17"/>
        <v>0</v>
      </c>
      <c r="L54" s="154">
        <f t="shared" si="17"/>
        <v>0</v>
      </c>
      <c r="M54" s="154">
        <f t="shared" si="17"/>
        <v>0</v>
      </c>
      <c r="N54" s="154">
        <f t="shared" si="17"/>
        <v>0</v>
      </c>
      <c r="O54" s="154">
        <f t="shared" si="17"/>
        <v>0</v>
      </c>
      <c r="P54" s="154">
        <f t="shared" si="17"/>
        <v>0</v>
      </c>
      <c r="Q54" s="154">
        <f t="shared" si="17"/>
        <v>0</v>
      </c>
      <c r="R54" s="154">
        <f t="shared" si="17"/>
        <v>0</v>
      </c>
      <c r="S54" s="154">
        <f t="shared" si="17"/>
        <v>0</v>
      </c>
      <c r="T54" s="154">
        <f t="shared" si="17"/>
        <v>0</v>
      </c>
      <c r="U54" s="154">
        <f t="shared" si="17"/>
        <v>0</v>
      </c>
      <c r="V54" s="154">
        <f t="shared" si="17"/>
        <v>0</v>
      </c>
      <c r="W54" s="154">
        <f t="shared" si="17"/>
        <v>0</v>
      </c>
      <c r="X54" s="154">
        <f t="shared" si="17"/>
        <v>0</v>
      </c>
    </row>
    <row r="55" spans="1:24" s="154" customFormat="1" x14ac:dyDescent="0.2">
      <c r="A55" s="155"/>
      <c r="B55" s="163"/>
      <c r="C55" s="157"/>
      <c r="E55" s="164" t="s">
        <v>757</v>
      </c>
      <c r="F55" s="165"/>
      <c r="G55" s="164" t="s">
        <v>583</v>
      </c>
      <c r="H55" s="165"/>
      <c r="J55" s="197">
        <f xml:space="preserve"> IF( I54 = 0, 0, J54 / I54 - 1 )</f>
        <v>0</v>
      </c>
      <c r="K55" s="197">
        <f t="shared" ref="K55:U55" si="18" xml:space="preserve"> IF( J54 = 0, 0, K54 / J54 - 1 )</f>
        <v>0</v>
      </c>
      <c r="L55" s="197">
        <f t="shared" si="18"/>
        <v>0</v>
      </c>
      <c r="M55" s="197">
        <f t="shared" si="18"/>
        <v>0</v>
      </c>
      <c r="N55" s="197">
        <f t="shared" si="18"/>
        <v>0</v>
      </c>
      <c r="O55" s="197">
        <f t="shared" si="18"/>
        <v>0</v>
      </c>
      <c r="P55" s="197">
        <f t="shared" si="18"/>
        <v>0</v>
      </c>
      <c r="Q55" s="197">
        <f t="shared" si="18"/>
        <v>0</v>
      </c>
      <c r="R55" s="197">
        <f t="shared" si="18"/>
        <v>0</v>
      </c>
      <c r="S55" s="197">
        <f t="shared" si="18"/>
        <v>0</v>
      </c>
      <c r="T55" s="197">
        <f t="shared" si="18"/>
        <v>0</v>
      </c>
      <c r="U55" s="197">
        <f t="shared" si="18"/>
        <v>0</v>
      </c>
      <c r="V55" s="197">
        <f xml:space="preserve"> IF( U54 = 0, 0, V54 / U54 - 1 )</f>
        <v>0</v>
      </c>
      <c r="W55" s="197">
        <f xml:space="preserve"> IF( V54 = 0, 0, W54 / V54 - 1 )</f>
        <v>0</v>
      </c>
      <c r="X55" s="197">
        <f xml:space="preserve"> IF( W54 = 0, 0, X54 / W54 - 1 )</f>
        <v>0</v>
      </c>
    </row>
    <row r="56" spans="1:24" s="154" customFormat="1" x14ac:dyDescent="0.2">
      <c r="A56" s="155"/>
      <c r="B56" s="163"/>
      <c r="C56" s="157"/>
      <c r="E56" s="164"/>
      <c r="F56" s="165"/>
      <c r="G56" s="164"/>
      <c r="H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</row>
    <row r="57" spans="1:24" s="154" customFormat="1" x14ac:dyDescent="0.2">
      <c r="A57" s="155"/>
      <c r="B57" s="163"/>
      <c r="C57" s="157"/>
      <c r="E57" s="164" t="str">
        <f xml:space="preserve"> E$18</f>
        <v>Year of adjustment to be applied</v>
      </c>
      <c r="F57" s="164">
        <f t="shared" ref="F57:X57" si="19" xml:space="preserve"> F$18</f>
        <v>0</v>
      </c>
      <c r="G57" s="164" t="str">
        <f t="shared" si="19"/>
        <v>flag</v>
      </c>
      <c r="H57" s="164">
        <f t="shared" si="19"/>
        <v>0</v>
      </c>
      <c r="I57" s="164">
        <f t="shared" si="19"/>
        <v>0</v>
      </c>
      <c r="J57" s="199">
        <f t="shared" si="19"/>
        <v>0</v>
      </c>
      <c r="K57" s="199">
        <f t="shared" si="19"/>
        <v>0</v>
      </c>
      <c r="L57" s="199">
        <f t="shared" si="19"/>
        <v>0</v>
      </c>
      <c r="M57" s="199">
        <f t="shared" si="19"/>
        <v>0</v>
      </c>
      <c r="N57" s="199">
        <f t="shared" si="19"/>
        <v>0</v>
      </c>
      <c r="O57" s="199">
        <f t="shared" si="19"/>
        <v>0</v>
      </c>
      <c r="P57" s="199">
        <f t="shared" si="19"/>
        <v>0</v>
      </c>
      <c r="Q57" s="199">
        <f t="shared" si="19"/>
        <v>0</v>
      </c>
      <c r="R57" s="199">
        <f t="shared" si="19"/>
        <v>0</v>
      </c>
      <c r="S57" s="199">
        <f t="shared" si="19"/>
        <v>0</v>
      </c>
      <c r="T57" s="199">
        <f t="shared" si="19"/>
        <v>0</v>
      </c>
      <c r="U57" s="199">
        <f t="shared" si="19"/>
        <v>1</v>
      </c>
      <c r="V57" s="199">
        <f t="shared" si="19"/>
        <v>0</v>
      </c>
      <c r="W57" s="199">
        <f t="shared" si="19"/>
        <v>0</v>
      </c>
      <c r="X57" s="199">
        <f t="shared" si="19"/>
        <v>0</v>
      </c>
    </row>
    <row r="58" spans="1:24" s="291" customFormat="1" x14ac:dyDescent="0.2">
      <c r="A58" s="347"/>
      <c r="B58" s="348"/>
      <c r="C58" s="349"/>
      <c r="E58" s="350" t="s">
        <v>758</v>
      </c>
      <c r="F58" s="351"/>
      <c r="G58" s="350" t="s">
        <v>644</v>
      </c>
      <c r="H58" s="351"/>
      <c r="J58" s="352">
        <f t="shared" ref="J58:U58" si="20">IF($F$10&lt;&gt;0, IF( OR( J57 = 1, I58 = 1 ), 1, 0 ),0)</f>
        <v>0</v>
      </c>
      <c r="K58" s="352">
        <f t="shared" si="20"/>
        <v>0</v>
      </c>
      <c r="L58" s="352">
        <f t="shared" si="20"/>
        <v>0</v>
      </c>
      <c r="M58" s="352">
        <f t="shared" si="20"/>
        <v>0</v>
      </c>
      <c r="N58" s="352">
        <f t="shared" si="20"/>
        <v>0</v>
      </c>
      <c r="O58" s="352">
        <f t="shared" si="20"/>
        <v>0</v>
      </c>
      <c r="P58" s="352">
        <f t="shared" si="20"/>
        <v>0</v>
      </c>
      <c r="Q58" s="352">
        <f t="shared" si="20"/>
        <v>0</v>
      </c>
      <c r="R58" s="352">
        <f t="shared" si="20"/>
        <v>0</v>
      </c>
      <c r="S58" s="352">
        <f t="shared" si="20"/>
        <v>0</v>
      </c>
      <c r="T58" s="352">
        <f t="shared" si="20"/>
        <v>0</v>
      </c>
      <c r="U58" s="352">
        <f t="shared" si="20"/>
        <v>0</v>
      </c>
      <c r="V58" s="352">
        <f>IF($F$10&lt;&gt;0, IF( OR( V57 = 1, U58 = 1 ), 1, 0 ),0)</f>
        <v>0</v>
      </c>
      <c r="W58" s="352">
        <f>IF($F$10&lt;&gt;0, IF( OR( W57 = 1, V58 = 1 ), 1, 0 ),0)</f>
        <v>0</v>
      </c>
      <c r="X58" s="352">
        <f>IF($F$10&lt;&gt;0, IF( OR( X57 = 1, W58 = 1 ), 1, 0 ),0)</f>
        <v>0</v>
      </c>
    </row>
    <row r="59" spans="1:24" s="154" customFormat="1" x14ac:dyDescent="0.2">
      <c r="A59" s="155"/>
      <c r="B59" s="156"/>
      <c r="C59" s="157"/>
    </row>
    <row r="60" spans="1:24" s="167" customFormat="1" x14ac:dyDescent="0.2">
      <c r="A60" s="166"/>
      <c r="B60" s="156"/>
      <c r="E60" s="162" t="str">
        <f t="shared" ref="E60:X60" si="21" xml:space="preserve"> E$55</f>
        <v>Allowed revenue percentage movement</v>
      </c>
      <c r="F60" s="154">
        <f t="shared" si="21"/>
        <v>0</v>
      </c>
      <c r="G60" s="162" t="str">
        <f t="shared" si="21"/>
        <v>Percentage</v>
      </c>
      <c r="H60" s="154">
        <f t="shared" si="21"/>
        <v>0</v>
      </c>
      <c r="I60" s="154">
        <f t="shared" si="21"/>
        <v>0</v>
      </c>
      <c r="J60" s="95">
        <f t="shared" si="21"/>
        <v>0</v>
      </c>
      <c r="K60" s="95">
        <f t="shared" si="21"/>
        <v>0</v>
      </c>
      <c r="L60" s="95">
        <f t="shared" si="21"/>
        <v>0</v>
      </c>
      <c r="M60" s="95">
        <f t="shared" si="21"/>
        <v>0</v>
      </c>
      <c r="N60" s="95">
        <f t="shared" si="21"/>
        <v>0</v>
      </c>
      <c r="O60" s="95">
        <f t="shared" si="21"/>
        <v>0</v>
      </c>
      <c r="P60" s="95">
        <f t="shared" si="21"/>
        <v>0</v>
      </c>
      <c r="Q60" s="95">
        <f t="shared" si="21"/>
        <v>0</v>
      </c>
      <c r="R60" s="95">
        <f t="shared" si="21"/>
        <v>0</v>
      </c>
      <c r="S60" s="95">
        <f t="shared" si="21"/>
        <v>0</v>
      </c>
      <c r="T60" s="95">
        <f t="shared" si="21"/>
        <v>0</v>
      </c>
      <c r="U60" s="95">
        <f t="shared" si="21"/>
        <v>0</v>
      </c>
      <c r="V60" s="95">
        <f t="shared" si="21"/>
        <v>0</v>
      </c>
      <c r="W60" s="95">
        <f t="shared" si="21"/>
        <v>0</v>
      </c>
      <c r="X60" s="95">
        <f t="shared" si="21"/>
        <v>0</v>
      </c>
    </row>
    <row r="61" spans="1:24" s="167" customFormat="1" x14ac:dyDescent="0.2">
      <c r="A61" s="166"/>
      <c r="B61" s="156"/>
      <c r="E61" s="298" t="str">
        <f xml:space="preserve"> Index!E$12</f>
        <v>November CPIH annual inflation figures</v>
      </c>
      <c r="F61" s="298">
        <f xml:space="preserve"> Index!F$12</f>
        <v>0</v>
      </c>
      <c r="G61" s="298" t="str">
        <f xml:space="preserve"> Index!G$12</f>
        <v>Percentage</v>
      </c>
      <c r="H61" s="298">
        <f xml:space="preserve"> Index!H$12</f>
        <v>0</v>
      </c>
      <c r="I61" s="298">
        <f xml:space="preserve"> Index!I$12</f>
        <v>0</v>
      </c>
      <c r="J61" s="298">
        <f xml:space="preserve"> Index!J$12</f>
        <v>0</v>
      </c>
      <c r="K61" s="298">
        <f xml:space="preserve"> Index!K$12</f>
        <v>0</v>
      </c>
      <c r="L61" s="298">
        <f xml:space="preserve"> Index!L$12</f>
        <v>1.4955134596211339E-2</v>
      </c>
      <c r="M61" s="298">
        <f xml:space="preserve"> Index!M$12</f>
        <v>0</v>
      </c>
      <c r="N61" s="298">
        <f xml:space="preserve"> Index!N$12</f>
        <v>0</v>
      </c>
      <c r="O61" s="298">
        <f xml:space="preserve"> Index!O$12</f>
        <v>0</v>
      </c>
      <c r="P61" s="298">
        <f xml:space="preserve"> Index!P$12</f>
        <v>0</v>
      </c>
      <c r="Q61" s="298">
        <f xml:space="preserve"> Index!Q$12</f>
        <v>0</v>
      </c>
      <c r="R61" s="298">
        <f xml:space="preserve"> Index!R$12</f>
        <v>0</v>
      </c>
      <c r="S61" s="298">
        <f xml:space="preserve"> Index!S$12</f>
        <v>0</v>
      </c>
      <c r="T61" s="298">
        <f xml:space="preserve"> Index!T$12</f>
        <v>0</v>
      </c>
      <c r="U61" s="298">
        <f xml:space="preserve"> Index!U$12</f>
        <v>0</v>
      </c>
      <c r="V61" s="298">
        <f xml:space="preserve"> Index!V$12</f>
        <v>0</v>
      </c>
      <c r="W61" s="298">
        <f xml:space="preserve"> Index!W$12</f>
        <v>0</v>
      </c>
      <c r="X61" s="298">
        <f xml:space="preserve"> Index!X$12</f>
        <v>0</v>
      </c>
    </row>
    <row r="62" spans="1:24" s="167" customFormat="1" x14ac:dyDescent="0.2">
      <c r="A62" s="166"/>
      <c r="B62" s="156"/>
      <c r="E62" s="162" t="str">
        <f t="shared" ref="E62:X62" si="22" xml:space="preserve"> E$58</f>
        <v>Year that price limits should be recalculated</v>
      </c>
      <c r="F62" s="154">
        <f t="shared" si="22"/>
        <v>0</v>
      </c>
      <c r="G62" s="162" t="str">
        <f t="shared" si="22"/>
        <v>flag</v>
      </c>
      <c r="H62" s="154">
        <f t="shared" si="22"/>
        <v>0</v>
      </c>
      <c r="I62" s="154">
        <f t="shared" si="22"/>
        <v>0</v>
      </c>
      <c r="J62" s="200">
        <f t="shared" si="22"/>
        <v>0</v>
      </c>
      <c r="K62" s="200">
        <f t="shared" si="22"/>
        <v>0</v>
      </c>
      <c r="L62" s="200">
        <f t="shared" si="22"/>
        <v>0</v>
      </c>
      <c r="M62" s="200">
        <f t="shared" si="22"/>
        <v>0</v>
      </c>
      <c r="N62" s="200">
        <f t="shared" si="22"/>
        <v>0</v>
      </c>
      <c r="O62" s="200">
        <f t="shared" si="22"/>
        <v>0</v>
      </c>
      <c r="P62" s="200">
        <f t="shared" si="22"/>
        <v>0</v>
      </c>
      <c r="Q62" s="200">
        <f t="shared" si="22"/>
        <v>0</v>
      </c>
      <c r="R62" s="200">
        <f t="shared" si="22"/>
        <v>0</v>
      </c>
      <c r="S62" s="200">
        <f t="shared" si="22"/>
        <v>0</v>
      </c>
      <c r="T62" s="200">
        <f t="shared" si="22"/>
        <v>0</v>
      </c>
      <c r="U62" s="200">
        <f t="shared" si="22"/>
        <v>0</v>
      </c>
      <c r="V62" s="200">
        <f t="shared" si="22"/>
        <v>0</v>
      </c>
      <c r="W62" s="200">
        <f t="shared" si="22"/>
        <v>0</v>
      </c>
      <c r="X62" s="200">
        <f t="shared" si="22"/>
        <v>0</v>
      </c>
    </row>
    <row r="63" spans="1:24" s="167" customFormat="1" x14ac:dyDescent="0.2">
      <c r="A63" s="166"/>
      <c r="B63" s="156"/>
      <c r="E63" s="164" t="s">
        <v>759</v>
      </c>
      <c r="F63" s="165"/>
      <c r="G63" s="164" t="s">
        <v>583</v>
      </c>
      <c r="H63" s="165"/>
      <c r="I63" s="165"/>
      <c r="J63" s="197">
        <f xml:space="preserve"> IF( J62 = 0, 0, J60 - J61 )</f>
        <v>0</v>
      </c>
      <c r="K63" s="197">
        <f t="shared" ref="K63:X63" si="23" xml:space="preserve"> IF( K62 = 0, 0, K60 - K61 )</f>
        <v>0</v>
      </c>
      <c r="L63" s="197">
        <f t="shared" si="23"/>
        <v>0</v>
      </c>
      <c r="M63" s="197">
        <f t="shared" si="23"/>
        <v>0</v>
      </c>
      <c r="N63" s="197">
        <f t="shared" si="23"/>
        <v>0</v>
      </c>
      <c r="O63" s="197">
        <f t="shared" si="23"/>
        <v>0</v>
      </c>
      <c r="P63" s="197">
        <f t="shared" si="23"/>
        <v>0</v>
      </c>
      <c r="Q63" s="197">
        <f t="shared" si="23"/>
        <v>0</v>
      </c>
      <c r="R63" s="197">
        <f t="shared" si="23"/>
        <v>0</v>
      </c>
      <c r="S63" s="197">
        <f t="shared" si="23"/>
        <v>0</v>
      </c>
      <c r="T63" s="197">
        <f t="shared" si="23"/>
        <v>0</v>
      </c>
      <c r="U63" s="197">
        <f t="shared" si="23"/>
        <v>0</v>
      </c>
      <c r="V63" s="197">
        <f t="shared" si="23"/>
        <v>0</v>
      </c>
      <c r="W63" s="197">
        <f t="shared" si="23"/>
        <v>0</v>
      </c>
      <c r="X63" s="197">
        <f t="shared" si="23"/>
        <v>0</v>
      </c>
    </row>
    <row r="64" spans="1:24" s="154" customFormat="1" x14ac:dyDescent="0.2">
      <c r="A64" s="155"/>
      <c r="B64" s="156"/>
      <c r="C64" s="157"/>
    </row>
    <row r="65" spans="1:24" s="154" customFormat="1" x14ac:dyDescent="0.2">
      <c r="A65" s="155"/>
      <c r="B65" s="156"/>
      <c r="C65" s="157"/>
      <c r="E65" s="154" t="str">
        <f t="shared" ref="E65:X65" si="24" xml:space="preserve"> E$63</f>
        <v>Allowed revenue percentage movement (Nov-Nov CPIH deflated)</v>
      </c>
      <c r="F65" s="154">
        <f t="shared" si="24"/>
        <v>0</v>
      </c>
      <c r="G65" s="154" t="str">
        <f t="shared" si="24"/>
        <v>Percentage</v>
      </c>
      <c r="H65" s="154">
        <f t="shared" si="24"/>
        <v>0</v>
      </c>
      <c r="I65" s="154">
        <f t="shared" si="24"/>
        <v>0</v>
      </c>
      <c r="J65" s="95">
        <f t="shared" si="24"/>
        <v>0</v>
      </c>
      <c r="K65" s="95">
        <f t="shared" si="24"/>
        <v>0</v>
      </c>
      <c r="L65" s="95">
        <f t="shared" si="24"/>
        <v>0</v>
      </c>
      <c r="M65" s="95">
        <f t="shared" si="24"/>
        <v>0</v>
      </c>
      <c r="N65" s="95">
        <f t="shared" si="24"/>
        <v>0</v>
      </c>
      <c r="O65" s="95">
        <f t="shared" si="24"/>
        <v>0</v>
      </c>
      <c r="P65" s="95">
        <f t="shared" si="24"/>
        <v>0</v>
      </c>
      <c r="Q65" s="95">
        <f t="shared" si="24"/>
        <v>0</v>
      </c>
      <c r="R65" s="95">
        <f t="shared" si="24"/>
        <v>0</v>
      </c>
      <c r="S65" s="95">
        <f t="shared" si="24"/>
        <v>0</v>
      </c>
      <c r="T65" s="95">
        <f t="shared" si="24"/>
        <v>0</v>
      </c>
      <c r="U65" s="95">
        <f t="shared" si="24"/>
        <v>0</v>
      </c>
      <c r="V65" s="95">
        <f t="shared" si="24"/>
        <v>0</v>
      </c>
      <c r="W65" s="95">
        <f t="shared" si="24"/>
        <v>0</v>
      </c>
      <c r="X65" s="95">
        <f t="shared" si="24"/>
        <v>0</v>
      </c>
    </row>
    <row r="66" spans="1:24" s="154" customFormat="1" x14ac:dyDescent="0.2">
      <c r="A66" s="155"/>
      <c r="B66" s="156"/>
      <c r="E66" s="314" t="s">
        <v>777</v>
      </c>
      <c r="G66" s="162" t="s">
        <v>583</v>
      </c>
      <c r="J66" s="264">
        <f>IF(J58&lt;&gt;0,IF(J65&gt;=0,ROUNDUP(ROUNDDOWN(J65,5),4),ROUNDDOWN(ROUNDUP(J65,5),4)),J28)</f>
        <v>0</v>
      </c>
      <c r="K66" s="264">
        <f t="shared" ref="K66:X66" si="25">IF(K58&lt;&gt;0,IF(K65&gt;=0,ROUNDUP(ROUNDDOWN(K65,5),4),ROUNDDOWN(ROUNDUP(K65,5),4)),K28)</f>
        <v>0</v>
      </c>
      <c r="L66" s="264">
        <f t="shared" si="25"/>
        <v>0</v>
      </c>
      <c r="M66" s="264">
        <f t="shared" si="25"/>
        <v>0</v>
      </c>
      <c r="N66" s="264">
        <f t="shared" si="25"/>
        <v>0</v>
      </c>
      <c r="O66" s="264">
        <f t="shared" si="25"/>
        <v>0</v>
      </c>
      <c r="P66" s="264">
        <f t="shared" si="25"/>
        <v>0</v>
      </c>
      <c r="Q66" s="264">
        <f t="shared" si="25"/>
        <v>0</v>
      </c>
      <c r="R66" s="264">
        <f t="shared" si="25"/>
        <v>0</v>
      </c>
      <c r="S66" s="264">
        <f t="shared" si="25"/>
        <v>0</v>
      </c>
      <c r="T66" s="264">
        <f t="shared" si="25"/>
        <v>0</v>
      </c>
      <c r="U66" s="264">
        <f t="shared" si="25"/>
        <v>0</v>
      </c>
      <c r="V66" s="264">
        <f t="shared" si="25"/>
        <v>0</v>
      </c>
      <c r="W66" s="264">
        <f t="shared" si="25"/>
        <v>0</v>
      </c>
      <c r="X66" s="264">
        <f t="shared" si="25"/>
        <v>0</v>
      </c>
    </row>
    <row r="67" spans="1:24" s="167" customFormat="1" x14ac:dyDescent="0.2">
      <c r="A67" s="166"/>
      <c r="B67" s="156"/>
      <c r="E67" s="321" t="s">
        <v>777</v>
      </c>
      <c r="G67" s="168" t="s">
        <v>584</v>
      </c>
      <c r="J67" s="178">
        <f>J66*100</f>
        <v>0</v>
      </c>
      <c r="K67" s="178">
        <f t="shared" ref="K67:X67" si="26">K66*100</f>
        <v>0</v>
      </c>
      <c r="L67" s="178">
        <f t="shared" si="26"/>
        <v>0</v>
      </c>
      <c r="M67" s="178">
        <f t="shared" si="26"/>
        <v>0</v>
      </c>
      <c r="N67" s="178">
        <f t="shared" si="26"/>
        <v>0</v>
      </c>
      <c r="O67" s="178">
        <f t="shared" si="26"/>
        <v>0</v>
      </c>
      <c r="P67" s="178">
        <f t="shared" si="26"/>
        <v>0</v>
      </c>
      <c r="Q67" s="178">
        <f t="shared" si="26"/>
        <v>0</v>
      </c>
      <c r="R67" s="178">
        <f t="shared" si="26"/>
        <v>0</v>
      </c>
      <c r="S67" s="178">
        <f t="shared" si="26"/>
        <v>0</v>
      </c>
      <c r="T67" s="178">
        <f t="shared" si="26"/>
        <v>0</v>
      </c>
      <c r="U67" s="178">
        <f t="shared" si="26"/>
        <v>0</v>
      </c>
      <c r="V67" s="178">
        <f t="shared" si="26"/>
        <v>0</v>
      </c>
      <c r="W67" s="178">
        <f t="shared" si="26"/>
        <v>0</v>
      </c>
      <c r="X67" s="178">
        <f t="shared" si="26"/>
        <v>0</v>
      </c>
    </row>
    <row r="68" spans="1:24" s="167" customFormat="1" x14ac:dyDescent="0.2">
      <c r="A68" s="166"/>
      <c r="B68" s="156"/>
      <c r="E68" s="168"/>
      <c r="G68" s="168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</row>
    <row r="69" spans="1:24" s="208" customFormat="1" ht="13.5" x14ac:dyDescent="0.25">
      <c r="A69" s="208" t="s">
        <v>134</v>
      </c>
    </row>
  </sheetData>
  <conditionalFormatting sqref="J3:X3">
    <cfRule type="cellIs" dxfId="20" priority="1" operator="equal">
      <formula>"Post-Fcst"</formula>
    </cfRule>
    <cfRule type="cellIs" dxfId="19" priority="2" operator="equal">
      <formula>"Post-Fcst Mod"</formula>
    </cfRule>
    <cfRule type="cellIs" dxfId="18" priority="3" operator="equal">
      <formula>"Forecast"</formula>
    </cfRule>
    <cfRule type="cellIs" dxfId="17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B2737-311B-48DD-A0A1-A3A0778E8968}">
  <sheetPr codeName="Sheet10">
    <tabColor theme="7"/>
    <outlinePr summaryBelow="0" summaryRight="0"/>
    <pageSetUpPr fitToPage="1"/>
  </sheetPr>
  <dimension ref="A1:X62"/>
  <sheetViews>
    <sheetView showGridLines="0" zoomScale="80" zoomScaleNormal="80" workbookViewId="0">
      <pane xSplit="9" ySplit="5" topLeftCell="J6" activePane="bottomRight" state="frozen"/>
      <selection pane="topRight" activeCell="B4" sqref="B4"/>
      <selection pane="bottomLeft" activeCell="B4" sqref="B4"/>
      <selection pane="bottomRight"/>
    </sheetView>
  </sheetViews>
  <sheetFormatPr defaultColWidth="11.625" defaultRowHeight="12.75" zeroHeight="1" x14ac:dyDescent="0.2"/>
  <cols>
    <col min="1" max="1" width="1.625" style="20" customWidth="1"/>
    <col min="2" max="2" width="1.625" style="96" customWidth="1"/>
    <col min="3" max="3" width="1.625" style="97" customWidth="1"/>
    <col min="4" max="4" width="1.625" style="146" customWidth="1"/>
    <col min="5" max="5" width="110.375" style="88" bestFit="1" customWidth="1"/>
    <col min="6" max="6" width="15.625" style="88" customWidth="1"/>
    <col min="7" max="7" width="28.625" style="88" bestFit="1" customWidth="1"/>
    <col min="8" max="8" width="15.625" style="30" customWidth="1"/>
    <col min="9" max="9" width="2.625" style="30" customWidth="1"/>
    <col min="10" max="22" width="11.625" style="30" customWidth="1"/>
    <col min="23" max="16384" width="11.625" style="30"/>
  </cols>
  <sheetData>
    <row r="1" spans="1:24" s="103" customFormat="1" ht="44.25" x14ac:dyDescent="0.2">
      <c r="A1" s="132" t="str">
        <f ca="1" xml:space="preserve"> RIGHT(CELL("filename", $A$1), LEN(CELL("filename", $A$1)) - SEARCH("]", CELL("filename", $A$1)))</f>
        <v>Outputs</v>
      </c>
      <c r="B1" s="143"/>
      <c r="C1" s="144"/>
      <c r="D1" s="145"/>
      <c r="E1" s="130"/>
      <c r="F1" s="130"/>
      <c r="G1" s="130"/>
      <c r="H1" s="393" t="str">
        <f>InpActive!F9</f>
        <v>Anglian Water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4" customFormat="1" x14ac:dyDescent="0.2">
      <c r="A2" s="135"/>
      <c r="B2" s="136"/>
      <c r="C2" s="137"/>
      <c r="D2" s="138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19" customFormat="1" x14ac:dyDescent="0.2">
      <c r="A3" s="131"/>
      <c r="B3" s="136"/>
      <c r="C3" s="137"/>
      <c r="D3" s="138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8" customFormat="1" x14ac:dyDescent="0.2">
      <c r="A4" s="131"/>
      <c r="B4" s="136"/>
      <c r="C4" s="137"/>
      <c r="D4" s="138"/>
      <c r="E4" s="120" t="str">
        <f>Time!E$106</f>
        <v>Financial Year Ending</v>
      </c>
      <c r="F4" s="120"/>
      <c r="G4" s="120"/>
      <c r="H4" s="116"/>
      <c r="I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29" customFormat="1" x14ac:dyDescent="0.2">
      <c r="A5" s="131"/>
      <c r="B5" s="136"/>
      <c r="C5" s="137"/>
      <c r="D5" s="138"/>
      <c r="E5" s="120" t="str">
        <f>Time!E$10</f>
        <v>Model column counter</v>
      </c>
      <c r="F5" s="131" t="s">
        <v>532</v>
      </c>
      <c r="G5" s="131" t="s">
        <v>186</v>
      </c>
      <c r="H5" s="19" t="s">
        <v>533</v>
      </c>
      <c r="I5" s="24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29" customFormat="1" x14ac:dyDescent="0.2">
      <c r="A6" s="131"/>
      <c r="B6" s="136"/>
      <c r="C6" s="137"/>
      <c r="D6" s="138"/>
      <c r="E6" s="120"/>
      <c r="F6" s="131"/>
      <c r="G6" s="131"/>
      <c r="H6" s="19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209" customFormat="1" ht="13.5" x14ac:dyDescent="0.25">
      <c r="A7" s="209" t="s">
        <v>778</v>
      </c>
    </row>
    <row r="8" spans="1:24" x14ac:dyDescent="0.2"/>
    <row r="9" spans="1:24" x14ac:dyDescent="0.2">
      <c r="C9" s="97" t="s">
        <v>779</v>
      </c>
    </row>
    <row r="10" spans="1:24" x14ac:dyDescent="0.2">
      <c r="E10" s="326" t="str">
        <f xml:space="preserve"> 'Water resources'!E$67</f>
        <v>Revised K - water resources</v>
      </c>
      <c r="F10" s="295">
        <f xml:space="preserve"> 'Water resources'!F$67</f>
        <v>0</v>
      </c>
      <c r="G10" s="326" t="str">
        <f xml:space="preserve"> 'Water resources'!G$67</f>
        <v>Number</v>
      </c>
      <c r="H10" s="295">
        <f xml:space="preserve"> 'Water resources'!H$67</f>
        <v>0</v>
      </c>
      <c r="I10" s="295">
        <f xml:space="preserve"> 'Water resources'!I$67</f>
        <v>0</v>
      </c>
      <c r="J10" s="295">
        <f xml:space="preserve"> 'Water resources'!J$67</f>
        <v>0</v>
      </c>
      <c r="K10" s="295">
        <f xml:space="preserve"> 'Water resources'!K$67</f>
        <v>0</v>
      </c>
      <c r="L10" s="295">
        <f xml:space="preserve"> 'Water resources'!L$67</f>
        <v>0</v>
      </c>
      <c r="M10" s="295">
        <f xml:space="preserve"> 'Water resources'!M$67</f>
        <v>0</v>
      </c>
      <c r="N10" s="295">
        <f xml:space="preserve"> 'Water resources'!N$67</f>
        <v>0</v>
      </c>
      <c r="O10" s="295">
        <f xml:space="preserve"> 'Water resources'!O$67</f>
        <v>0</v>
      </c>
      <c r="P10" s="336">
        <f xml:space="preserve"> 'Water resources'!P$67</f>
        <v>0</v>
      </c>
      <c r="Q10" s="336">
        <f xml:space="preserve"> 'Water resources'!Q$67</f>
        <v>0</v>
      </c>
      <c r="R10" s="336">
        <f xml:space="preserve"> 'Water resources'!R$67</f>
        <v>0</v>
      </c>
      <c r="S10" s="336">
        <f xml:space="preserve"> 'Water resources'!S$67</f>
        <v>0</v>
      </c>
      <c r="T10" s="160">
        <f xml:space="preserve"> 'Water resources'!T$67</f>
        <v>0</v>
      </c>
      <c r="U10" s="160">
        <f xml:space="preserve"> 'Water resources'!U$67</f>
        <v>0</v>
      </c>
      <c r="V10" s="295">
        <f xml:space="preserve"> 'Water resources'!V$67</f>
        <v>-100</v>
      </c>
      <c r="W10" s="295">
        <f xml:space="preserve"> 'Water resources'!W$67</f>
        <v>0</v>
      </c>
      <c r="X10" s="295">
        <f xml:space="preserve"> 'Water resources'!X$67</f>
        <v>0</v>
      </c>
    </row>
    <row r="11" spans="1:24" x14ac:dyDescent="0.2">
      <c r="C11" s="147"/>
      <c r="E11" s="207" t="str">
        <f xml:space="preserve"> 'Water network plus'!E$67</f>
        <v>Revised K - water network plus</v>
      </c>
      <c r="F11" s="160">
        <f xml:space="preserve"> 'Water network plus'!F$67</f>
        <v>0</v>
      </c>
      <c r="G11" s="207" t="str">
        <f xml:space="preserve"> 'Water network plus'!G$67</f>
        <v>Number</v>
      </c>
      <c r="H11" s="160">
        <f xml:space="preserve"> 'Water network plus'!H$67</f>
        <v>0</v>
      </c>
      <c r="I11" s="160">
        <f xml:space="preserve"> 'Water network plus'!I$67</f>
        <v>0</v>
      </c>
      <c r="J11" s="160">
        <f xml:space="preserve"> 'Water network plus'!J$67</f>
        <v>0</v>
      </c>
      <c r="K11" s="160">
        <f xml:space="preserve"> 'Water network plus'!K$67</f>
        <v>0</v>
      </c>
      <c r="L11" s="160">
        <f xml:space="preserve"> 'Water network plus'!L$67</f>
        <v>0</v>
      </c>
      <c r="M11" s="160">
        <f xml:space="preserve"> 'Water network plus'!M$67</f>
        <v>0</v>
      </c>
      <c r="N11" s="160">
        <f xml:space="preserve"> 'Water network plus'!N$67</f>
        <v>0</v>
      </c>
      <c r="O11" s="160">
        <f xml:space="preserve"> 'Water network plus'!O$67</f>
        <v>0</v>
      </c>
      <c r="P11" s="236">
        <f xml:space="preserve"> 'Water network plus'!P$67</f>
        <v>0</v>
      </c>
      <c r="Q11" s="236">
        <f xml:space="preserve"> 'Water network plus'!Q$67</f>
        <v>0</v>
      </c>
      <c r="R11" s="236">
        <f xml:space="preserve"> 'Water network plus'!R$67</f>
        <v>0</v>
      </c>
      <c r="S11" s="236">
        <f xml:space="preserve"> 'Water network plus'!S$67</f>
        <v>0</v>
      </c>
      <c r="T11" s="160">
        <f xml:space="preserve"> 'Water network plus'!T$67</f>
        <v>0</v>
      </c>
      <c r="U11" s="160">
        <f xml:space="preserve"> 'Water network plus'!U$67</f>
        <v>0</v>
      </c>
      <c r="V11" s="160">
        <f xml:space="preserve"> 'Water network plus'!V$67</f>
        <v>-100</v>
      </c>
      <c r="W11" s="160">
        <f xml:space="preserve"> 'Water network plus'!W$67</f>
        <v>0</v>
      </c>
      <c r="X11" s="160">
        <f xml:space="preserve"> 'Water network plus'!X$67</f>
        <v>0</v>
      </c>
    </row>
    <row r="12" spans="1:24" x14ac:dyDescent="0.2">
      <c r="C12" s="147"/>
      <c r="E12" s="207" t="str">
        <f xml:space="preserve"> 'Wastewater network plus'!E$67</f>
        <v>Revised K - wastewater network plus</v>
      </c>
      <c r="F12" s="160">
        <f xml:space="preserve"> 'Wastewater network plus'!F$67</f>
        <v>0</v>
      </c>
      <c r="G12" s="207" t="str">
        <f xml:space="preserve"> 'Wastewater network plus'!G$67</f>
        <v>Number</v>
      </c>
      <c r="H12" s="160">
        <f xml:space="preserve"> 'Wastewater network plus'!H$67</f>
        <v>0</v>
      </c>
      <c r="I12" s="160">
        <f xml:space="preserve"> 'Wastewater network plus'!I$67</f>
        <v>0</v>
      </c>
      <c r="J12" s="160">
        <f xml:space="preserve"> 'Wastewater network plus'!J$67</f>
        <v>0</v>
      </c>
      <c r="K12" s="160">
        <f xml:space="preserve"> 'Wastewater network plus'!K$67</f>
        <v>0</v>
      </c>
      <c r="L12" s="160">
        <f xml:space="preserve"> 'Wastewater network plus'!L$67</f>
        <v>0</v>
      </c>
      <c r="M12" s="160">
        <f xml:space="preserve"> 'Wastewater network plus'!M$67</f>
        <v>0</v>
      </c>
      <c r="N12" s="160">
        <f xml:space="preserve"> 'Wastewater network plus'!N$67</f>
        <v>0</v>
      </c>
      <c r="O12" s="160">
        <f xml:space="preserve"> 'Wastewater network plus'!O$67</f>
        <v>0</v>
      </c>
      <c r="P12" s="236">
        <f xml:space="preserve"> 'Wastewater network plus'!P$67</f>
        <v>0</v>
      </c>
      <c r="Q12" s="236">
        <f xml:space="preserve"> 'Wastewater network plus'!Q$67</f>
        <v>0</v>
      </c>
      <c r="R12" s="236">
        <f xml:space="preserve"> 'Wastewater network plus'!R$67</f>
        <v>0</v>
      </c>
      <c r="S12" s="236">
        <f xml:space="preserve"> 'Wastewater network plus'!S$67</f>
        <v>0</v>
      </c>
      <c r="T12" s="160">
        <f xml:space="preserve"> 'Wastewater network plus'!T$67</f>
        <v>0</v>
      </c>
      <c r="U12" s="160">
        <f xml:space="preserve"> 'Wastewater network plus'!U$67</f>
        <v>0</v>
      </c>
      <c r="V12" s="160">
        <f xml:space="preserve"> 'Wastewater network plus'!V$67</f>
        <v>-100</v>
      </c>
      <c r="W12" s="160">
        <f xml:space="preserve"> 'Wastewater network plus'!W$67</f>
        <v>0</v>
      </c>
      <c r="X12" s="160">
        <f xml:space="preserve"> 'Wastewater network plus'!X$67</f>
        <v>0</v>
      </c>
    </row>
    <row r="13" spans="1:24" x14ac:dyDescent="0.2">
      <c r="C13" s="147"/>
      <c r="D13" s="148"/>
      <c r="E13" s="207" t="str">
        <f xml:space="preserve"> 'Additional control 1'!E$67</f>
        <v>Revised K - additional control 1</v>
      </c>
      <c r="F13" s="160">
        <f xml:space="preserve"> 'Additional control 1'!F$67</f>
        <v>0</v>
      </c>
      <c r="G13" s="207" t="str">
        <f xml:space="preserve"> 'Additional control 1'!G$67</f>
        <v>Number</v>
      </c>
      <c r="H13" s="160">
        <f xml:space="preserve"> 'Additional control 1'!H$67</f>
        <v>0</v>
      </c>
      <c r="I13" s="160">
        <f xml:space="preserve"> 'Additional control 1'!I$67</f>
        <v>0</v>
      </c>
      <c r="J13" s="160">
        <f xml:space="preserve"> 'Additional control 1'!J$67</f>
        <v>0</v>
      </c>
      <c r="K13" s="160">
        <f xml:space="preserve"> 'Additional control 1'!K$67</f>
        <v>0</v>
      </c>
      <c r="L13" s="160">
        <f xml:space="preserve"> 'Additional control 1'!L$67</f>
        <v>0</v>
      </c>
      <c r="M13" s="160">
        <f xml:space="preserve"> 'Additional control 1'!M$67</f>
        <v>0</v>
      </c>
      <c r="N13" s="160">
        <f xml:space="preserve"> 'Additional control 1'!N$67</f>
        <v>0</v>
      </c>
      <c r="O13" s="160">
        <f xml:space="preserve"> 'Additional control 1'!O$67</f>
        <v>0</v>
      </c>
      <c r="P13" s="236">
        <f xml:space="preserve"> 'Additional control 1'!P$67</f>
        <v>0</v>
      </c>
      <c r="Q13" s="236">
        <f xml:space="preserve"> 'Additional control 1'!Q$67</f>
        <v>0</v>
      </c>
      <c r="R13" s="236">
        <f xml:space="preserve"> 'Additional control 1'!R$67</f>
        <v>0</v>
      </c>
      <c r="S13" s="369">
        <f xml:space="preserve"> 'Additional control 1'!S$67</f>
        <v>0</v>
      </c>
      <c r="T13" s="236">
        <f xml:space="preserve"> 'Additional control 1'!T$67</f>
        <v>0</v>
      </c>
      <c r="U13" s="236">
        <f xml:space="preserve"> 'Additional control 1'!U$67</f>
        <v>0</v>
      </c>
      <c r="V13" s="160">
        <f xml:space="preserve"> 'Additional control 1'!V$67</f>
        <v>0</v>
      </c>
      <c r="W13" s="160">
        <f xml:space="preserve"> 'Additional control 1'!W$67</f>
        <v>0</v>
      </c>
      <c r="X13" s="160">
        <f xml:space="preserve"> 'Additional control 1'!X$67</f>
        <v>0</v>
      </c>
    </row>
    <row r="14" spans="1:24" x14ac:dyDescent="0.2">
      <c r="C14" s="147"/>
      <c r="D14" s="148"/>
      <c r="E14" s="207" t="str">
        <f xml:space="preserve"> 'Additional control 2'!E$67</f>
        <v>Revised K - additional control 2</v>
      </c>
      <c r="F14" s="160">
        <f xml:space="preserve"> 'Additional control 2'!F$67</f>
        <v>0</v>
      </c>
      <c r="G14" s="207" t="str">
        <f xml:space="preserve"> 'Additional control 2'!G$67</f>
        <v>Number</v>
      </c>
      <c r="H14" s="160">
        <f xml:space="preserve"> 'Additional control 2'!H$67</f>
        <v>0</v>
      </c>
      <c r="I14" s="160">
        <f xml:space="preserve"> 'Additional control 2'!I$67</f>
        <v>0</v>
      </c>
      <c r="J14" s="160">
        <f xml:space="preserve"> 'Additional control 2'!J$67</f>
        <v>0</v>
      </c>
      <c r="K14" s="160">
        <f xml:space="preserve"> 'Additional control 2'!K$67</f>
        <v>0</v>
      </c>
      <c r="L14" s="160">
        <f xml:space="preserve"> 'Additional control 2'!L$67</f>
        <v>0</v>
      </c>
      <c r="M14" s="160">
        <f xml:space="preserve"> 'Additional control 2'!M$67</f>
        <v>0</v>
      </c>
      <c r="N14" s="160">
        <f xml:space="preserve"> 'Additional control 2'!N$67</f>
        <v>0</v>
      </c>
      <c r="O14" s="160">
        <f xml:space="preserve"> 'Additional control 2'!O$67</f>
        <v>0</v>
      </c>
      <c r="P14" s="236">
        <f xml:space="preserve"> 'Additional control 2'!P$67</f>
        <v>0</v>
      </c>
      <c r="Q14" s="236">
        <f xml:space="preserve"> 'Additional control 2'!Q$67</f>
        <v>0</v>
      </c>
      <c r="R14" s="236">
        <f xml:space="preserve"> 'Additional control 2'!R$67</f>
        <v>0</v>
      </c>
      <c r="S14" s="369">
        <f xml:space="preserve"> 'Additional control 2'!S$67</f>
        <v>0</v>
      </c>
      <c r="T14" s="236">
        <f xml:space="preserve"> 'Additional control 2'!T$67</f>
        <v>0</v>
      </c>
      <c r="U14" s="236">
        <f xml:space="preserve"> 'Additional control 2'!U$67</f>
        <v>0</v>
      </c>
      <c r="V14" s="160">
        <f xml:space="preserve"> 'Additional control 2'!V$67</f>
        <v>0</v>
      </c>
      <c r="W14" s="160">
        <f xml:space="preserve"> 'Additional control 2'!W$67</f>
        <v>0</v>
      </c>
      <c r="X14" s="160">
        <f xml:space="preserve"> 'Additional control 2'!X$67</f>
        <v>0</v>
      </c>
    </row>
    <row r="15" spans="1:24" x14ac:dyDescent="0.2">
      <c r="C15" s="147"/>
      <c r="D15" s="148"/>
      <c r="F15" s="160"/>
      <c r="H15" s="160"/>
      <c r="I15" s="160"/>
      <c r="P15" s="237"/>
      <c r="Q15" s="237"/>
      <c r="R15" s="237"/>
      <c r="S15" s="237"/>
      <c r="T15" s="237"/>
      <c r="U15" s="237"/>
    </row>
    <row r="16" spans="1:24" x14ac:dyDescent="0.2">
      <c r="C16" s="97" t="s">
        <v>177</v>
      </c>
      <c r="D16" s="148"/>
      <c r="F16" s="160"/>
      <c r="H16" s="160"/>
      <c r="I16" s="160"/>
      <c r="P16" s="237"/>
      <c r="Q16" s="237"/>
      <c r="R16" s="237"/>
      <c r="S16" s="237"/>
      <c r="T16" s="237"/>
      <c r="U16" s="237"/>
    </row>
    <row r="17" spans="1:24" x14ac:dyDescent="0.2">
      <c r="C17" s="147"/>
      <c r="E17" s="326" t="str">
        <f xml:space="preserve"> 'Bioresources (sludge)'!E$57</f>
        <v>Revised unadjusted revenue (URt)</v>
      </c>
      <c r="F17" s="295">
        <f xml:space="preserve"> 'Bioresources (sludge)'!F$57</f>
        <v>0</v>
      </c>
      <c r="G17" s="326" t="str">
        <f xml:space="preserve"> 'Bioresources (sludge)'!G$57</f>
        <v>£m (2022-23 FYA CPIH prices)</v>
      </c>
      <c r="H17" s="295">
        <f xml:space="preserve"> 'Bioresources (sludge)'!H$57</f>
        <v>0</v>
      </c>
      <c r="I17" s="295">
        <f xml:space="preserve"> 'Bioresources (sludge)'!I$57</f>
        <v>0</v>
      </c>
      <c r="J17" s="327">
        <f xml:space="preserve"> 'Bioresources (sludge)'!J$57</f>
        <v>0</v>
      </c>
      <c r="K17" s="327">
        <f xml:space="preserve"> 'Bioresources (sludge)'!K$57</f>
        <v>0</v>
      </c>
      <c r="L17" s="327">
        <f xml:space="preserve"> 'Bioresources (sludge)'!L$57</f>
        <v>0</v>
      </c>
      <c r="M17" s="327">
        <f xml:space="preserve"> 'Bioresources (sludge)'!M$57</f>
        <v>0</v>
      </c>
      <c r="N17" s="327">
        <f xml:space="preserve"> 'Bioresources (sludge)'!N$57</f>
        <v>0</v>
      </c>
      <c r="O17" s="327">
        <f xml:space="preserve"> 'Bioresources (sludge)'!O$57</f>
        <v>0</v>
      </c>
      <c r="P17" s="302">
        <f xml:space="preserve"> 'Bioresources (sludge)'!P$57</f>
        <v>0</v>
      </c>
      <c r="Q17" s="302">
        <f xml:space="preserve"> 'Bioresources (sludge)'!Q$57</f>
        <v>0</v>
      </c>
      <c r="R17" s="302">
        <f xml:space="preserve"> 'Bioresources (sludge)'!R$57</f>
        <v>0</v>
      </c>
      <c r="S17" s="302">
        <f xml:space="preserve"> 'Bioresources (sludge)'!S$57</f>
        <v>0</v>
      </c>
      <c r="T17" s="426">
        <f xml:space="preserve"> 'Bioresources (sludge)'!T$57</f>
        <v>0</v>
      </c>
      <c r="U17" s="426">
        <f xml:space="preserve"> 'Bioresources (sludge)'!U$57</f>
        <v>0</v>
      </c>
      <c r="V17" s="427">
        <f xml:space="preserve"> 'Bioresources (sludge)'!V$57</f>
        <v>0</v>
      </c>
      <c r="W17" s="427">
        <f xml:space="preserve"> 'Bioresources (sludge)'!W$57</f>
        <v>0</v>
      </c>
      <c r="X17" s="427">
        <f xml:space="preserve"> 'Bioresources (sludge)'!X$57</f>
        <v>0</v>
      </c>
    </row>
    <row r="18" spans="1:24" x14ac:dyDescent="0.2">
      <c r="C18" s="147"/>
      <c r="F18" s="160"/>
      <c r="H18" s="160"/>
      <c r="I18" s="160"/>
      <c r="P18" s="237"/>
      <c r="Q18" s="237"/>
      <c r="R18" s="237"/>
      <c r="S18" s="237"/>
      <c r="T18" s="237"/>
      <c r="U18" s="237"/>
    </row>
    <row r="19" spans="1:24" x14ac:dyDescent="0.2">
      <c r="C19" s="147" t="s">
        <v>173</v>
      </c>
      <c r="F19" s="160"/>
      <c r="H19" s="160"/>
      <c r="I19" s="160"/>
      <c r="P19" s="237"/>
      <c r="Q19" s="237"/>
      <c r="R19" s="237"/>
      <c r="S19" s="237"/>
      <c r="T19" s="237"/>
      <c r="U19" s="237"/>
    </row>
    <row r="20" spans="1:24" x14ac:dyDescent="0.2">
      <c r="C20" s="147"/>
      <c r="E20" s="160" t="str">
        <f xml:space="preserve"> 'Residential retail'!E$49</f>
        <v>Revised retail revenue cost per customer (m)</v>
      </c>
      <c r="F20" s="160">
        <f xml:space="preserve"> 'Residential retail'!F$49</f>
        <v>0</v>
      </c>
      <c r="G20" s="160" t="str">
        <f xml:space="preserve"> 'Residential retail'!G$49</f>
        <v>£ nominal</v>
      </c>
      <c r="H20" s="160">
        <f xml:space="preserve"> 'Residential retail'!H$49</f>
        <v>0</v>
      </c>
      <c r="I20" s="160">
        <f xml:space="preserve"> 'Residential retail'!I$49</f>
        <v>0</v>
      </c>
      <c r="J20" s="224">
        <f xml:space="preserve"> 'Residential retail'!J$49</f>
        <v>0</v>
      </c>
      <c r="K20" s="224">
        <f xml:space="preserve"> 'Residential retail'!K$49</f>
        <v>0</v>
      </c>
      <c r="L20" s="224">
        <f xml:space="preserve"> 'Residential retail'!L$49</f>
        <v>0</v>
      </c>
      <c r="M20" s="224">
        <f xml:space="preserve"> 'Residential retail'!M$49</f>
        <v>0</v>
      </c>
      <c r="N20" s="224">
        <f xml:space="preserve"> 'Residential retail'!N$49</f>
        <v>0</v>
      </c>
      <c r="O20" s="224">
        <f xml:space="preserve"> 'Residential retail'!O$49</f>
        <v>0</v>
      </c>
      <c r="P20" s="236">
        <f xml:space="preserve"> 'Residential retail'!P$49</f>
        <v>0</v>
      </c>
      <c r="Q20" s="236">
        <f xml:space="preserve"> 'Residential retail'!Q$49</f>
        <v>0</v>
      </c>
      <c r="R20" s="236">
        <f xml:space="preserve"> 'Residential retail'!R$49</f>
        <v>0</v>
      </c>
      <c r="S20" s="236">
        <f xml:space="preserve"> 'Residential retail'!S$49</f>
        <v>0</v>
      </c>
      <c r="T20" s="224">
        <f xml:space="preserve"> 'Residential retail'!T$49</f>
        <v>0</v>
      </c>
      <c r="U20" s="224" t="e">
        <f xml:space="preserve"> 'Residential retail'!U$49</f>
        <v>#DIV/0!</v>
      </c>
      <c r="V20" s="224">
        <f xml:space="preserve"> 'Residential retail'!V$49</f>
        <v>0</v>
      </c>
      <c r="W20" s="224">
        <f xml:space="preserve"> 'Residential retail'!W$49</f>
        <v>0</v>
      </c>
      <c r="X20" s="224">
        <f xml:space="preserve"> 'Residential retail'!X$49</f>
        <v>0</v>
      </c>
    </row>
    <row r="21" spans="1:24" x14ac:dyDescent="0.2">
      <c r="C21" s="147"/>
      <c r="F21" s="160"/>
      <c r="H21" s="160"/>
      <c r="I21" s="160"/>
    </row>
    <row r="22" spans="1:24" x14ac:dyDescent="0.2">
      <c r="C22" s="147" t="s">
        <v>175</v>
      </c>
      <c r="F22" s="160"/>
      <c r="H22" s="160"/>
      <c r="I22" s="160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</row>
    <row r="23" spans="1:24" x14ac:dyDescent="0.2">
      <c r="C23" s="88"/>
      <c r="E23" s="207" t="str">
        <f xml:space="preserve"> 'Business retail'!E$62</f>
        <v>Revised retail cost per customer inc Margin, DPC &amp; business retail revenue adjustment - nominal (1) [Water supplies (m) - tariff band 1]</v>
      </c>
      <c r="F23" s="207">
        <f xml:space="preserve"> 'Business retail'!F$62</f>
        <v>0</v>
      </c>
      <c r="G23" s="207" t="str">
        <f xml:space="preserve"> 'Business retail'!G$62</f>
        <v>£ nominal</v>
      </c>
      <c r="H23" s="207">
        <f xml:space="preserve"> 'Business retail'!H$62</f>
        <v>0</v>
      </c>
      <c r="I23" s="207">
        <f xml:space="preserve"> 'Business retail'!I$62</f>
        <v>0</v>
      </c>
      <c r="J23" s="207">
        <f xml:space="preserve"> 'Business retail'!J$62</f>
        <v>0</v>
      </c>
      <c r="K23" s="207">
        <f xml:space="preserve"> 'Business retail'!K$62</f>
        <v>0</v>
      </c>
      <c r="L23" s="207">
        <f xml:space="preserve"> 'Business retail'!L$62</f>
        <v>0</v>
      </c>
      <c r="M23" s="207">
        <f xml:space="preserve"> 'Business retail'!M$62</f>
        <v>0</v>
      </c>
      <c r="N23" s="207">
        <f xml:space="preserve"> 'Business retail'!N$62</f>
        <v>0</v>
      </c>
      <c r="O23" s="207">
        <f xml:space="preserve"> 'Business retail'!O$62</f>
        <v>0</v>
      </c>
      <c r="P23" s="207">
        <f xml:space="preserve"> 'Business retail'!P$62</f>
        <v>0</v>
      </c>
      <c r="Q23" s="207">
        <f xml:space="preserve"> 'Business retail'!Q$62</f>
        <v>0</v>
      </c>
      <c r="R23" s="207">
        <f xml:space="preserve"> 'Business retail'!R$62</f>
        <v>0</v>
      </c>
      <c r="S23" s="207">
        <f xml:space="preserve"> 'Business retail'!S$62</f>
        <v>0</v>
      </c>
      <c r="T23" s="207">
        <f xml:space="preserve"> 'Business retail'!T$62</f>
        <v>0</v>
      </c>
      <c r="U23" s="207">
        <f xml:space="preserve"> 'Business retail'!U$62</f>
        <v>0</v>
      </c>
      <c r="V23" s="207">
        <f xml:space="preserve"> 'Business retail'!V$62</f>
        <v>0</v>
      </c>
      <c r="W23" s="207">
        <f xml:space="preserve"> 'Business retail'!W$62</f>
        <v>0</v>
      </c>
      <c r="X23" s="207">
        <f xml:space="preserve"> 'Business retail'!X$62</f>
        <v>0</v>
      </c>
    </row>
    <row r="24" spans="1:24" x14ac:dyDescent="0.2">
      <c r="C24" s="88"/>
      <c r="E24" s="207" t="str">
        <f xml:space="preserve"> 'Business retail'!E$63</f>
        <v>Revised retail cost per customer inc Margin, DPC &amp; business retail revenue adjustment - nominal (1) [Wastewater supplies (m) - tariff band 2]</v>
      </c>
      <c r="F24" s="207">
        <f xml:space="preserve"> 'Business retail'!F$63</f>
        <v>0</v>
      </c>
      <c r="G24" s="207" t="str">
        <f xml:space="preserve"> 'Business retail'!G$63</f>
        <v>£ nominal</v>
      </c>
      <c r="H24" s="207">
        <f xml:space="preserve"> 'Business retail'!H$63</f>
        <v>0</v>
      </c>
      <c r="I24" s="207">
        <f xml:space="preserve"> 'Business retail'!I$63</f>
        <v>0</v>
      </c>
      <c r="J24" s="207">
        <f xml:space="preserve"> 'Business retail'!J$63</f>
        <v>0</v>
      </c>
      <c r="K24" s="207">
        <f xml:space="preserve"> 'Business retail'!K$63</f>
        <v>0</v>
      </c>
      <c r="L24" s="207">
        <f xml:space="preserve"> 'Business retail'!L$63</f>
        <v>0</v>
      </c>
      <c r="M24" s="207">
        <f xml:space="preserve"> 'Business retail'!M$63</f>
        <v>0</v>
      </c>
      <c r="N24" s="207">
        <f xml:space="preserve"> 'Business retail'!N$63</f>
        <v>0</v>
      </c>
      <c r="O24" s="207">
        <f xml:space="preserve"> 'Business retail'!O$63</f>
        <v>0</v>
      </c>
      <c r="P24" s="207">
        <f xml:space="preserve"> 'Business retail'!P$63</f>
        <v>0</v>
      </c>
      <c r="Q24" s="207">
        <f xml:space="preserve"> 'Business retail'!Q$63</f>
        <v>0</v>
      </c>
      <c r="R24" s="207">
        <f xml:space="preserve"> 'Business retail'!R$63</f>
        <v>0</v>
      </c>
      <c r="S24" s="207">
        <f xml:space="preserve"> 'Business retail'!S$63</f>
        <v>0</v>
      </c>
      <c r="T24" s="207">
        <f xml:space="preserve"> 'Business retail'!T$63</f>
        <v>0</v>
      </c>
      <c r="U24" s="207">
        <f xml:space="preserve"> 'Business retail'!U$63</f>
        <v>0</v>
      </c>
      <c r="V24" s="207">
        <f xml:space="preserve"> 'Business retail'!V$63</f>
        <v>0</v>
      </c>
      <c r="W24" s="207">
        <f xml:space="preserve"> 'Business retail'!W$63</f>
        <v>0</v>
      </c>
      <c r="X24" s="207">
        <f xml:space="preserve"> 'Business retail'!X$63</f>
        <v>0</v>
      </c>
    </row>
    <row r="25" spans="1:24" x14ac:dyDescent="0.2">
      <c r="C25" s="147"/>
    </row>
    <row r="26" spans="1:24" s="209" customFormat="1" ht="13.5" x14ac:dyDescent="0.25">
      <c r="A26" s="209" t="s">
        <v>780</v>
      </c>
    </row>
    <row r="27" spans="1:24" s="6" customFormat="1" x14ac:dyDescent="0.2">
      <c r="A27" s="20"/>
      <c r="B27" s="96"/>
      <c r="C27" s="97"/>
      <c r="D27" s="146"/>
      <c r="E27" s="88"/>
      <c r="F27" s="88"/>
      <c r="G27" s="88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spans="1:24" x14ac:dyDescent="0.2">
      <c r="C28" s="328" t="s">
        <v>742</v>
      </c>
      <c r="D28" s="263"/>
      <c r="F28" s="329"/>
    </row>
    <row r="29" spans="1:24" s="160" customFormat="1" x14ac:dyDescent="0.2">
      <c r="A29" s="158"/>
      <c r="B29" s="159"/>
      <c r="E29" s="295" t="str">
        <f xml:space="preserve"> InpActive!E$12</f>
        <v>Reporting year</v>
      </c>
      <c r="F29" s="295" t="str">
        <f xml:space="preserve"> InpActive!F$12</f>
        <v>2024-25</v>
      </c>
      <c r="G29" s="295" t="str">
        <f xml:space="preserve"> InpActive!G$12</f>
        <v>Financial year</v>
      </c>
      <c r="H29" s="295"/>
      <c r="I29" s="295"/>
      <c r="O29" s="295"/>
      <c r="P29" s="295"/>
      <c r="Q29" s="295"/>
      <c r="R29" s="295"/>
      <c r="S29" s="295"/>
    </row>
    <row r="30" spans="1:24" s="154" customFormat="1" x14ac:dyDescent="0.2">
      <c r="A30" s="155"/>
      <c r="B30" s="156"/>
      <c r="C30" s="157"/>
      <c r="E30" s="291" t="s">
        <v>743</v>
      </c>
      <c r="F30" s="330">
        <f>_xlfn.NUMBERVALUE(CONCATENATE(20,RIGHT(F29,2)))</f>
        <v>2025</v>
      </c>
      <c r="G30" s="291"/>
      <c r="H30" s="291"/>
      <c r="I30" s="291"/>
      <c r="O30" s="291"/>
      <c r="P30" s="291"/>
      <c r="Q30" s="291"/>
      <c r="R30" s="291"/>
      <c r="S30" s="291"/>
    </row>
    <row r="31" spans="1:24" s="160" customFormat="1" x14ac:dyDescent="0.2">
      <c r="A31" s="158"/>
      <c r="B31" s="159"/>
      <c r="E31" s="331" t="str">
        <f xml:space="preserve"> Time!E$106</f>
        <v>Financial Year Ending</v>
      </c>
      <c r="F31" s="316">
        <f xml:space="preserve"> Time!F$106</f>
        <v>0</v>
      </c>
      <c r="G31" s="316" t="str">
        <f xml:space="preserve"> Time!G$106</f>
        <v>year #</v>
      </c>
      <c r="H31" s="316">
        <f xml:space="preserve"> Time!H$106</f>
        <v>0</v>
      </c>
      <c r="I31" s="316">
        <f xml:space="preserve"> Time!I$106</f>
        <v>0</v>
      </c>
      <c r="J31" s="332">
        <f xml:space="preserve"> Time!J$106</f>
        <v>2016</v>
      </c>
      <c r="K31" s="332">
        <f xml:space="preserve"> Time!K$106</f>
        <v>2017</v>
      </c>
      <c r="L31" s="332">
        <f xml:space="preserve"> Time!L$106</f>
        <v>2018</v>
      </c>
      <c r="M31" s="332">
        <f xml:space="preserve"> Time!M$106</f>
        <v>2019</v>
      </c>
      <c r="N31" s="332">
        <f xml:space="preserve"> Time!N$106</f>
        <v>2020</v>
      </c>
      <c r="O31" s="332">
        <f xml:space="preserve"> Time!O$106</f>
        <v>2021</v>
      </c>
      <c r="P31" s="332">
        <f xml:space="preserve"> Time!P$106</f>
        <v>2022</v>
      </c>
      <c r="Q31" s="332">
        <f xml:space="preserve"> Time!Q$106</f>
        <v>2023</v>
      </c>
      <c r="R31" s="332">
        <f xml:space="preserve"> Time!R$106</f>
        <v>2024</v>
      </c>
      <c r="S31" s="332">
        <f xml:space="preserve"> Time!S$106</f>
        <v>2025</v>
      </c>
      <c r="T31" s="332">
        <f xml:space="preserve"> Time!T$106</f>
        <v>2026</v>
      </c>
      <c r="U31" s="332">
        <f xml:space="preserve"> Time!U$106</f>
        <v>2027</v>
      </c>
      <c r="V31" s="332">
        <f xml:space="preserve"> Time!V$106</f>
        <v>2028</v>
      </c>
      <c r="W31" s="332">
        <f xml:space="preserve"> Time!W$106</f>
        <v>2029</v>
      </c>
      <c r="X31" s="332">
        <f xml:space="preserve"> Time!X$106</f>
        <v>2030</v>
      </c>
    </row>
    <row r="32" spans="1:24" s="154" customFormat="1" x14ac:dyDescent="0.2">
      <c r="A32" s="155"/>
      <c r="B32" s="156"/>
      <c r="C32" s="157"/>
      <c r="E32" s="291" t="s">
        <v>744</v>
      </c>
      <c r="F32" s="291"/>
      <c r="G32" s="291" t="s">
        <v>644</v>
      </c>
      <c r="H32" s="291"/>
      <c r="I32" s="291"/>
      <c r="J32" s="292">
        <f xml:space="preserve"> IF( J31 = $F30, 1, 0 )</f>
        <v>0</v>
      </c>
      <c r="K32" s="292">
        <f t="shared" ref="K32:T32" si="0" xml:space="preserve"> IF( K31 = $F30, 1, 0 )</f>
        <v>0</v>
      </c>
      <c r="L32" s="292">
        <f t="shared" si="0"/>
        <v>0</v>
      </c>
      <c r="M32" s="292">
        <f t="shared" si="0"/>
        <v>0</v>
      </c>
      <c r="N32" s="292">
        <f t="shared" si="0"/>
        <v>0</v>
      </c>
      <c r="O32" s="292">
        <f xml:space="preserve"> IF( O31 = $F30, 1, 0 )</f>
        <v>0</v>
      </c>
      <c r="P32" s="292">
        <f t="shared" si="0"/>
        <v>0</v>
      </c>
      <c r="Q32" s="292">
        <f t="shared" si="0"/>
        <v>0</v>
      </c>
      <c r="R32" s="292">
        <f t="shared" si="0"/>
        <v>0</v>
      </c>
      <c r="S32" s="292">
        <f t="shared" si="0"/>
        <v>1</v>
      </c>
      <c r="T32" s="292">
        <f t="shared" si="0"/>
        <v>0</v>
      </c>
      <c r="U32" s="292">
        <f t="shared" ref="U32:V32" si="1" xml:space="preserve"> IF( U31 = $F30, 1, 0 )</f>
        <v>0</v>
      </c>
      <c r="V32" s="292">
        <f t="shared" si="1"/>
        <v>0</v>
      </c>
      <c r="W32" s="292">
        <f t="shared" ref="W32:X32" si="2" xml:space="preserve"> IF( W31 = $F30, 1, 0 )</f>
        <v>0</v>
      </c>
      <c r="X32" s="292">
        <f t="shared" si="2"/>
        <v>0</v>
      </c>
    </row>
    <row r="33" spans="1:24" s="154" customFormat="1" x14ac:dyDescent="0.2">
      <c r="A33" s="155"/>
      <c r="B33" s="156"/>
      <c r="C33" s="157"/>
      <c r="E33" s="291" t="s">
        <v>781</v>
      </c>
      <c r="F33" s="291"/>
      <c r="G33" s="291" t="s">
        <v>644</v>
      </c>
      <c r="H33" s="291"/>
      <c r="I33" s="291"/>
      <c r="J33" s="292">
        <f t="shared" ref="J33:O33" si="3" xml:space="preserve"> IF( I32 = 1, 1, 0 )</f>
        <v>0</v>
      </c>
      <c r="K33" s="292">
        <f t="shared" si="3"/>
        <v>0</v>
      </c>
      <c r="L33" s="292">
        <f t="shared" si="3"/>
        <v>0</v>
      </c>
      <c r="M33" s="292">
        <f t="shared" si="3"/>
        <v>0</v>
      </c>
      <c r="N33" s="292">
        <f t="shared" si="3"/>
        <v>0</v>
      </c>
      <c r="O33" s="292">
        <f t="shared" si="3"/>
        <v>0</v>
      </c>
      <c r="P33" s="292">
        <f xml:space="preserve"> IF( O32 = 1, 1, 0 )</f>
        <v>0</v>
      </c>
      <c r="Q33" s="292">
        <f t="shared" ref="Q33:U33" si="4" xml:space="preserve"> IF( P32 = 1, 1, 0 )</f>
        <v>0</v>
      </c>
      <c r="R33" s="292">
        <f t="shared" si="4"/>
        <v>0</v>
      </c>
      <c r="S33" s="292">
        <f t="shared" si="4"/>
        <v>0</v>
      </c>
      <c r="T33" s="292">
        <f t="shared" si="4"/>
        <v>1</v>
      </c>
      <c r="U33" s="292">
        <f t="shared" si="4"/>
        <v>0</v>
      </c>
      <c r="V33" s="292">
        <f xml:space="preserve"> IF( U32 = 1, 1, 0 )</f>
        <v>0</v>
      </c>
      <c r="W33" s="292">
        <f xml:space="preserve"> IF( V32 = 1, 1, 0 )</f>
        <v>0</v>
      </c>
      <c r="X33" s="292">
        <f xml:space="preserve"> IF( W32 = 1, 1, 0 )</f>
        <v>0</v>
      </c>
    </row>
    <row r="34" spans="1:24" x14ac:dyDescent="0.2">
      <c r="C34" s="147"/>
      <c r="D34" s="263"/>
      <c r="E34" s="328"/>
      <c r="F34" s="333"/>
      <c r="G34" s="329"/>
      <c r="H34" s="294"/>
      <c r="I34" s="294"/>
      <c r="O34" s="294"/>
      <c r="P34" s="294"/>
      <c r="Q34" s="294"/>
      <c r="R34" s="294"/>
      <c r="S34" s="294"/>
    </row>
    <row r="35" spans="1:24" x14ac:dyDescent="0.2">
      <c r="C35" s="328" t="s">
        <v>725</v>
      </c>
      <c r="D35" s="263"/>
      <c r="E35" s="328"/>
      <c r="F35" s="333"/>
      <c r="G35" s="329"/>
      <c r="H35" s="294"/>
      <c r="I35" s="294"/>
      <c r="O35" s="294"/>
      <c r="P35" s="294"/>
      <c r="Q35" s="294"/>
      <c r="R35" s="294"/>
      <c r="S35" s="294"/>
    </row>
    <row r="36" spans="1:24" x14ac:dyDescent="0.2">
      <c r="C36" s="147"/>
      <c r="E36" s="295" t="str">
        <f xml:space="preserve"> 'Abatements and deferrals'!E$110</f>
        <v>Deferred payments for next reconciliation year - water resources</v>
      </c>
      <c r="F36" s="334">
        <f xml:space="preserve"> 'Abatements and deferrals'!F$110</f>
        <v>0</v>
      </c>
      <c r="G36" s="334" t="str">
        <f xml:space="preserve"> 'Abatements and deferrals'!G$110</f>
        <v>£m (2017-18 FYA CPIH prices)</v>
      </c>
      <c r="H36" s="160">
        <f xml:space="preserve"> 'Abatements and deferrals'!H$110</f>
        <v>0</v>
      </c>
      <c r="I36" s="160">
        <f xml:space="preserve"> 'Abatements and deferrals'!I$110</f>
        <v>0</v>
      </c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</row>
    <row r="37" spans="1:24" x14ac:dyDescent="0.2">
      <c r="C37" s="147"/>
      <c r="E37" s="295" t="str">
        <f xml:space="preserve"> 'Abatements and deferrals'!E$111</f>
        <v>Deferred payments for next reconciliation year - water network plus</v>
      </c>
      <c r="F37" s="334">
        <f xml:space="preserve"> 'Abatements and deferrals'!F$111</f>
        <v>0</v>
      </c>
      <c r="G37" s="334" t="str">
        <f xml:space="preserve"> 'Abatements and deferrals'!G$111</f>
        <v>£m (2017-18 FYA CPIH prices)</v>
      </c>
      <c r="H37" s="160">
        <f xml:space="preserve"> 'Abatements and deferrals'!H$111</f>
        <v>0</v>
      </c>
      <c r="I37" s="160">
        <f xml:space="preserve"> 'Abatements and deferrals'!I$111</f>
        <v>0</v>
      </c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</row>
    <row r="38" spans="1:24" x14ac:dyDescent="0.2">
      <c r="C38" s="147"/>
      <c r="E38" s="295" t="str">
        <f xml:space="preserve"> 'Abatements and deferrals'!E$112</f>
        <v>Deferred payments for next reconciliation year - wastewater network plus</v>
      </c>
      <c r="F38" s="334">
        <f xml:space="preserve"> 'Abatements and deferrals'!F$112</f>
        <v>0</v>
      </c>
      <c r="G38" s="334" t="str">
        <f xml:space="preserve"> 'Abatements and deferrals'!G$112</f>
        <v>£m (2017-18 FYA CPIH prices)</v>
      </c>
      <c r="H38" s="160">
        <f xml:space="preserve"> 'Abatements and deferrals'!H$112</f>
        <v>0</v>
      </c>
      <c r="I38" s="160">
        <f xml:space="preserve"> 'Abatements and deferrals'!I$112</f>
        <v>0</v>
      </c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</row>
    <row r="39" spans="1:24" x14ac:dyDescent="0.2">
      <c r="C39" s="147"/>
      <c r="E39" s="295" t="str">
        <f xml:space="preserve"> 'Abatements and deferrals'!E$113</f>
        <v>Deferred payments for next reconciliation year - bioresources (sludge)</v>
      </c>
      <c r="F39" s="334">
        <f xml:space="preserve"> 'Abatements and deferrals'!F$113</f>
        <v>0</v>
      </c>
      <c r="G39" s="334" t="str">
        <f xml:space="preserve"> 'Abatements and deferrals'!G$113</f>
        <v>£m (2017-18 FYA CPIH prices)</v>
      </c>
      <c r="H39" s="160">
        <f xml:space="preserve"> 'Abatements and deferrals'!H$113</f>
        <v>0</v>
      </c>
      <c r="I39" s="160">
        <f xml:space="preserve"> 'Abatements and deferrals'!I$113</f>
        <v>0</v>
      </c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</row>
    <row r="40" spans="1:24" x14ac:dyDescent="0.2">
      <c r="C40" s="147"/>
      <c r="E40" s="295" t="str">
        <f xml:space="preserve"> 'Abatements and deferrals'!E$114</f>
        <v>Deferred payments for next reconciliation year - residential retail</v>
      </c>
      <c r="F40" s="334">
        <f xml:space="preserve"> 'Abatements and deferrals'!F$114</f>
        <v>0</v>
      </c>
      <c r="G40" s="334" t="str">
        <f xml:space="preserve"> 'Abatements and deferrals'!G$114</f>
        <v>£m (2017-18 FYA CPIH prices)</v>
      </c>
      <c r="H40" s="160">
        <f xml:space="preserve"> 'Abatements and deferrals'!H$114</f>
        <v>0</v>
      </c>
      <c r="I40" s="160">
        <f xml:space="preserve"> 'Abatements and deferrals'!I$114</f>
        <v>0</v>
      </c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</row>
    <row r="41" spans="1:24" x14ac:dyDescent="0.2">
      <c r="C41" s="147"/>
      <c r="E41" s="295" t="str">
        <f xml:space="preserve"> 'Abatements and deferrals'!E$115</f>
        <v>Deferred payments for next reconciliation year - business retail</v>
      </c>
      <c r="F41" s="334">
        <f xml:space="preserve"> 'Abatements and deferrals'!F$115</f>
        <v>0</v>
      </c>
      <c r="G41" s="334" t="str">
        <f xml:space="preserve"> 'Abatements and deferrals'!G$115</f>
        <v>£m (2017-18 FYA CPIH prices)</v>
      </c>
      <c r="H41" s="160">
        <f xml:space="preserve"> 'Abatements and deferrals'!H$115</f>
        <v>0</v>
      </c>
      <c r="I41" s="160">
        <f xml:space="preserve"> 'Abatements and deferrals'!I$115</f>
        <v>0</v>
      </c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</row>
    <row r="42" spans="1:24" x14ac:dyDescent="0.2">
      <c r="C42" s="147"/>
      <c r="E42" s="295" t="str">
        <f xml:space="preserve"> 'Abatements and deferrals'!E$116</f>
        <v>Deferred payments for next reconciliation year - additional control 1</v>
      </c>
      <c r="F42" s="334">
        <f xml:space="preserve"> 'Abatements and deferrals'!F$116</f>
        <v>0</v>
      </c>
      <c r="G42" s="334" t="str">
        <f xml:space="preserve"> 'Abatements and deferrals'!G$116</f>
        <v>£m (2017-18 FYA CPIH prices)</v>
      </c>
      <c r="H42" s="160">
        <f xml:space="preserve"> 'Abatements and deferrals'!H$116</f>
        <v>0</v>
      </c>
      <c r="I42" s="160">
        <f xml:space="preserve"> 'Abatements and deferrals'!I$116</f>
        <v>0</v>
      </c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</row>
    <row r="43" spans="1:24" x14ac:dyDescent="0.2">
      <c r="C43" s="147"/>
      <c r="E43" s="295" t="str">
        <f xml:space="preserve"> 'Abatements and deferrals'!E$117</f>
        <v>Deferred payments for next reconciliation year - additional control 2</v>
      </c>
      <c r="F43" s="334">
        <f xml:space="preserve"> 'Abatements and deferrals'!F$117</f>
        <v>0</v>
      </c>
      <c r="G43" s="334" t="str">
        <f xml:space="preserve"> 'Abatements and deferrals'!G$116</f>
        <v>£m (2017-18 FYA CPIH prices)</v>
      </c>
      <c r="H43" s="160">
        <f xml:space="preserve"> 'Abatements and deferrals'!H$116</f>
        <v>0</v>
      </c>
      <c r="I43" s="160">
        <f xml:space="preserve"> 'Abatements and deferrals'!I$116</f>
        <v>0</v>
      </c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</row>
    <row r="44" spans="1:24" x14ac:dyDescent="0.2">
      <c r="C44" s="147"/>
      <c r="E44" s="295" t="str">
        <f xml:space="preserve"> 'Abatements and deferrals'!E$118</f>
        <v>Deferred payments for next reconciliation year - total</v>
      </c>
      <c r="F44" s="295">
        <f xml:space="preserve"> 'Abatements and deferrals'!F$118</f>
        <v>0</v>
      </c>
      <c r="G44" s="295" t="str">
        <f xml:space="preserve"> 'Abatements and deferrals'!G$118</f>
        <v>£m (2017-18 FYA CPIH prices)</v>
      </c>
      <c r="H44" s="160">
        <f xml:space="preserve"> 'Abatements and deferrals'!H$118</f>
        <v>0</v>
      </c>
      <c r="I44" s="160">
        <f xml:space="preserve"> 'Abatements and deferrals'!I$118</f>
        <v>0</v>
      </c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</row>
    <row r="45" spans="1:24" x14ac:dyDescent="0.2">
      <c r="C45" s="147"/>
      <c r="E45" s="160"/>
      <c r="F45" s="224"/>
      <c r="G45" s="160"/>
      <c r="H45" s="236"/>
      <c r="I45" s="160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</row>
    <row r="46" spans="1:24" x14ac:dyDescent="0.2">
      <c r="C46" s="147"/>
      <c r="E46" s="291" t="s">
        <v>716</v>
      </c>
      <c r="F46" s="238"/>
      <c r="G46" s="291" t="str">
        <f>InpActive!$F$15</f>
        <v>£m (2017-18 FYA CPIH prices)</v>
      </c>
      <c r="H46" s="278"/>
      <c r="I46" s="154"/>
      <c r="J46" s="335">
        <f t="shared" ref="J46:L48" si="5">$F36*J$33</f>
        <v>0</v>
      </c>
      <c r="K46" s="335">
        <f t="shared" si="5"/>
        <v>0</v>
      </c>
      <c r="L46" s="335">
        <f t="shared" si="5"/>
        <v>0</v>
      </c>
      <c r="M46" s="335">
        <f t="shared" ref="M46:T46" si="6">$F36*M$33</f>
        <v>0</v>
      </c>
      <c r="N46" s="335">
        <f t="shared" si="6"/>
        <v>0</v>
      </c>
      <c r="O46" s="335">
        <f t="shared" si="6"/>
        <v>0</v>
      </c>
      <c r="P46" s="335">
        <f t="shared" si="6"/>
        <v>0</v>
      </c>
      <c r="Q46" s="335">
        <f t="shared" si="6"/>
        <v>0</v>
      </c>
      <c r="R46" s="335">
        <f t="shared" si="6"/>
        <v>0</v>
      </c>
      <c r="S46" s="335">
        <f t="shared" si="6"/>
        <v>0</v>
      </c>
      <c r="T46" s="335">
        <f t="shared" si="6"/>
        <v>0</v>
      </c>
      <c r="U46" s="335">
        <f t="shared" ref="U46:V46" si="7">$F36*U$33</f>
        <v>0</v>
      </c>
      <c r="V46" s="335">
        <f t="shared" si="7"/>
        <v>0</v>
      </c>
      <c r="W46" s="335">
        <f t="shared" ref="W46:X46" si="8">$F36*W$33</f>
        <v>0</v>
      </c>
      <c r="X46" s="335">
        <f t="shared" si="8"/>
        <v>0</v>
      </c>
    </row>
    <row r="47" spans="1:24" x14ac:dyDescent="0.2">
      <c r="C47" s="147"/>
      <c r="E47" s="291" t="s">
        <v>717</v>
      </c>
      <c r="F47" s="238"/>
      <c r="G47" s="291" t="str">
        <f>InpActive!$F$15</f>
        <v>£m (2017-18 FYA CPIH prices)</v>
      </c>
      <c r="H47" s="278"/>
      <c r="I47" s="154"/>
      <c r="J47" s="335">
        <f t="shared" si="5"/>
        <v>0</v>
      </c>
      <c r="K47" s="335">
        <f t="shared" si="5"/>
        <v>0</v>
      </c>
      <c r="L47" s="335">
        <f t="shared" si="5"/>
        <v>0</v>
      </c>
      <c r="M47" s="335">
        <f t="shared" ref="M47:T48" si="9">$F37*M$33</f>
        <v>0</v>
      </c>
      <c r="N47" s="335">
        <f t="shared" si="9"/>
        <v>0</v>
      </c>
      <c r="O47" s="335">
        <f t="shared" si="9"/>
        <v>0</v>
      </c>
      <c r="P47" s="335">
        <f t="shared" si="9"/>
        <v>0</v>
      </c>
      <c r="Q47" s="335">
        <f t="shared" si="9"/>
        <v>0</v>
      </c>
      <c r="R47" s="335">
        <f t="shared" si="9"/>
        <v>0</v>
      </c>
      <c r="S47" s="335">
        <f t="shared" si="9"/>
        <v>0</v>
      </c>
      <c r="T47" s="335">
        <f t="shared" si="9"/>
        <v>0</v>
      </c>
      <c r="U47" s="335">
        <f t="shared" ref="U47:V47" si="10">$F37*U$33</f>
        <v>0</v>
      </c>
      <c r="V47" s="335">
        <f t="shared" si="10"/>
        <v>0</v>
      </c>
      <c r="W47" s="335">
        <f t="shared" ref="W47:X47" si="11">$F37*W$33</f>
        <v>0</v>
      </c>
      <c r="X47" s="335">
        <f t="shared" si="11"/>
        <v>0</v>
      </c>
    </row>
    <row r="48" spans="1:24" x14ac:dyDescent="0.2">
      <c r="C48" s="147"/>
      <c r="E48" s="291" t="s">
        <v>718</v>
      </c>
      <c r="F48" s="238"/>
      <c r="G48" s="291" t="str">
        <f>InpActive!$F$15</f>
        <v>£m (2017-18 FYA CPIH prices)</v>
      </c>
      <c r="H48" s="278"/>
      <c r="I48" s="154"/>
      <c r="J48" s="335">
        <f t="shared" si="5"/>
        <v>0</v>
      </c>
      <c r="K48" s="335">
        <f t="shared" si="5"/>
        <v>0</v>
      </c>
      <c r="L48" s="335">
        <f t="shared" si="5"/>
        <v>0</v>
      </c>
      <c r="M48" s="335">
        <f t="shared" si="9"/>
        <v>0</v>
      </c>
      <c r="N48" s="335">
        <f t="shared" si="9"/>
        <v>0</v>
      </c>
      <c r="O48" s="335">
        <f t="shared" si="9"/>
        <v>0</v>
      </c>
      <c r="P48" s="335">
        <f t="shared" si="9"/>
        <v>0</v>
      </c>
      <c r="Q48" s="335">
        <f t="shared" si="9"/>
        <v>0</v>
      </c>
      <c r="R48" s="335">
        <f t="shared" si="9"/>
        <v>0</v>
      </c>
      <c r="S48" s="335">
        <f t="shared" si="9"/>
        <v>0</v>
      </c>
      <c r="T48" s="335">
        <f t="shared" si="9"/>
        <v>0</v>
      </c>
      <c r="U48" s="335">
        <f t="shared" ref="U48:V48" si="12">$F38*U$33</f>
        <v>0</v>
      </c>
      <c r="V48" s="335">
        <f t="shared" si="12"/>
        <v>0</v>
      </c>
      <c r="W48" s="335">
        <f t="shared" ref="W48:X48" si="13">$F38*W$33</f>
        <v>0</v>
      </c>
      <c r="X48" s="335">
        <f t="shared" si="13"/>
        <v>0</v>
      </c>
    </row>
    <row r="49" spans="1:24" x14ac:dyDescent="0.2">
      <c r="C49" s="147"/>
      <c r="E49" s="291" t="s">
        <v>719</v>
      </c>
      <c r="F49" s="238"/>
      <c r="G49" s="291" t="str">
        <f>InpActive!$F$15</f>
        <v>£m (2017-18 FYA CPIH prices)</v>
      </c>
      <c r="H49" s="278"/>
      <c r="I49" s="154"/>
      <c r="J49" s="335">
        <f t="shared" ref="J49:T49" si="14">$F39*J$33</f>
        <v>0</v>
      </c>
      <c r="K49" s="335">
        <f t="shared" si="14"/>
        <v>0</v>
      </c>
      <c r="L49" s="335">
        <f t="shared" si="14"/>
        <v>0</v>
      </c>
      <c r="M49" s="335">
        <f t="shared" si="14"/>
        <v>0</v>
      </c>
      <c r="N49" s="335">
        <f t="shared" si="14"/>
        <v>0</v>
      </c>
      <c r="O49" s="335">
        <f t="shared" si="14"/>
        <v>0</v>
      </c>
      <c r="P49" s="335">
        <f t="shared" si="14"/>
        <v>0</v>
      </c>
      <c r="Q49" s="335">
        <f t="shared" si="14"/>
        <v>0</v>
      </c>
      <c r="R49" s="335">
        <f t="shared" si="14"/>
        <v>0</v>
      </c>
      <c r="S49" s="335">
        <f t="shared" si="14"/>
        <v>0</v>
      </c>
      <c r="T49" s="335">
        <f t="shared" si="14"/>
        <v>0</v>
      </c>
      <c r="U49" s="335">
        <f t="shared" ref="U49:V49" si="15">$F39*U$33</f>
        <v>0</v>
      </c>
      <c r="V49" s="335">
        <f t="shared" si="15"/>
        <v>0</v>
      </c>
      <c r="W49" s="335">
        <f t="shared" ref="W49:X49" si="16">$F39*W$33</f>
        <v>0</v>
      </c>
      <c r="X49" s="335">
        <f t="shared" si="16"/>
        <v>0</v>
      </c>
    </row>
    <row r="50" spans="1:24" x14ac:dyDescent="0.2">
      <c r="C50" s="147"/>
      <c r="E50" s="291" t="s">
        <v>723</v>
      </c>
      <c r="F50" s="238"/>
      <c r="G50" s="291" t="str">
        <f>InpActive!$F$15</f>
        <v>£m (2017-18 FYA CPIH prices)</v>
      </c>
      <c r="H50" s="278"/>
      <c r="I50" s="154"/>
      <c r="J50" s="335">
        <f t="shared" ref="J50:T50" si="17">$F40*J$33</f>
        <v>0</v>
      </c>
      <c r="K50" s="335">
        <f t="shared" si="17"/>
        <v>0</v>
      </c>
      <c r="L50" s="335">
        <f t="shared" si="17"/>
        <v>0</v>
      </c>
      <c r="M50" s="335">
        <f t="shared" si="17"/>
        <v>0</v>
      </c>
      <c r="N50" s="335">
        <f t="shared" si="17"/>
        <v>0</v>
      </c>
      <c r="O50" s="335">
        <f t="shared" si="17"/>
        <v>0</v>
      </c>
      <c r="P50" s="335">
        <f t="shared" si="17"/>
        <v>0</v>
      </c>
      <c r="Q50" s="335">
        <f t="shared" si="17"/>
        <v>0</v>
      </c>
      <c r="R50" s="335">
        <f t="shared" si="17"/>
        <v>0</v>
      </c>
      <c r="S50" s="335">
        <f t="shared" si="17"/>
        <v>0</v>
      </c>
      <c r="T50" s="335">
        <f t="shared" si="17"/>
        <v>0</v>
      </c>
      <c r="U50" s="335">
        <f t="shared" ref="U50:V50" si="18">$F40*U$33</f>
        <v>0</v>
      </c>
      <c r="V50" s="335">
        <f t="shared" si="18"/>
        <v>0</v>
      </c>
      <c r="W50" s="335">
        <f t="shared" ref="W50:X50" si="19">$F40*W$33</f>
        <v>0</v>
      </c>
      <c r="X50" s="335">
        <f t="shared" si="19"/>
        <v>0</v>
      </c>
    </row>
    <row r="51" spans="1:24" x14ac:dyDescent="0.2">
      <c r="C51" s="147"/>
      <c r="E51" s="291" t="s">
        <v>724</v>
      </c>
      <c r="F51" s="238"/>
      <c r="G51" s="291" t="str">
        <f>InpActive!$F$15</f>
        <v>£m (2017-18 FYA CPIH prices)</v>
      </c>
      <c r="H51" s="278"/>
      <c r="I51" s="154"/>
      <c r="J51" s="335">
        <f t="shared" ref="J51:T51" si="20">$F41*J$33</f>
        <v>0</v>
      </c>
      <c r="K51" s="335">
        <f t="shared" si="20"/>
        <v>0</v>
      </c>
      <c r="L51" s="335">
        <f t="shared" si="20"/>
        <v>0</v>
      </c>
      <c r="M51" s="335">
        <f t="shared" si="20"/>
        <v>0</v>
      </c>
      <c r="N51" s="335">
        <f t="shared" si="20"/>
        <v>0</v>
      </c>
      <c r="O51" s="335">
        <f t="shared" si="20"/>
        <v>0</v>
      </c>
      <c r="P51" s="335">
        <f t="shared" si="20"/>
        <v>0</v>
      </c>
      <c r="Q51" s="335">
        <f t="shared" si="20"/>
        <v>0</v>
      </c>
      <c r="R51" s="335">
        <f t="shared" si="20"/>
        <v>0</v>
      </c>
      <c r="S51" s="335">
        <f t="shared" si="20"/>
        <v>0</v>
      </c>
      <c r="T51" s="335">
        <f t="shared" si="20"/>
        <v>0</v>
      </c>
      <c r="U51" s="335">
        <f t="shared" ref="U51:V51" si="21">$F41*U$33</f>
        <v>0</v>
      </c>
      <c r="V51" s="335">
        <f t="shared" si="21"/>
        <v>0</v>
      </c>
      <c r="W51" s="335">
        <f t="shared" ref="W51:X51" si="22">$F41*W$33</f>
        <v>0</v>
      </c>
      <c r="X51" s="335">
        <f t="shared" si="22"/>
        <v>0</v>
      </c>
    </row>
    <row r="52" spans="1:24" x14ac:dyDescent="0.2">
      <c r="C52" s="147"/>
      <c r="E52" s="291" t="s">
        <v>720</v>
      </c>
      <c r="F52" s="238"/>
      <c r="G52" s="291" t="str">
        <f>InpActive!$F$15</f>
        <v>£m (2017-18 FYA CPIH prices)</v>
      </c>
      <c r="H52" s="278"/>
      <c r="I52" s="154"/>
      <c r="J52" s="335">
        <f t="shared" ref="J52:T53" si="23">$F42*J$33</f>
        <v>0</v>
      </c>
      <c r="K52" s="335">
        <f t="shared" si="23"/>
        <v>0</v>
      </c>
      <c r="L52" s="335">
        <f t="shared" si="23"/>
        <v>0</v>
      </c>
      <c r="M52" s="335">
        <f t="shared" si="23"/>
        <v>0</v>
      </c>
      <c r="N52" s="335">
        <f>$F42*N$33</f>
        <v>0</v>
      </c>
      <c r="O52" s="335">
        <f t="shared" si="23"/>
        <v>0</v>
      </c>
      <c r="P52" s="335">
        <f t="shared" si="23"/>
        <v>0</v>
      </c>
      <c r="Q52" s="335">
        <f t="shared" si="23"/>
        <v>0</v>
      </c>
      <c r="R52" s="335">
        <f t="shared" si="23"/>
        <v>0</v>
      </c>
      <c r="S52" s="335">
        <f t="shared" si="23"/>
        <v>0</v>
      </c>
      <c r="T52" s="335">
        <f t="shared" si="23"/>
        <v>0</v>
      </c>
      <c r="U52" s="335">
        <f t="shared" ref="U52:V53" si="24">$F42*U$33</f>
        <v>0</v>
      </c>
      <c r="V52" s="335">
        <f t="shared" si="24"/>
        <v>0</v>
      </c>
      <c r="W52" s="335">
        <f t="shared" ref="W52:X53" si="25">$F42*W$33</f>
        <v>0</v>
      </c>
      <c r="X52" s="335">
        <f t="shared" si="25"/>
        <v>0</v>
      </c>
    </row>
    <row r="53" spans="1:24" x14ac:dyDescent="0.2">
      <c r="C53" s="147"/>
      <c r="E53" s="291" t="s">
        <v>721</v>
      </c>
      <c r="F53" s="238"/>
      <c r="G53" s="291" t="str">
        <f>InpActive!$F$15</f>
        <v>£m (2017-18 FYA CPIH prices)</v>
      </c>
      <c r="H53" s="278"/>
      <c r="I53" s="154"/>
      <c r="J53" s="335">
        <f t="shared" si="23"/>
        <v>0</v>
      </c>
      <c r="K53" s="335">
        <f t="shared" si="23"/>
        <v>0</v>
      </c>
      <c r="L53" s="335">
        <f t="shared" si="23"/>
        <v>0</v>
      </c>
      <c r="M53" s="335">
        <f t="shared" si="23"/>
        <v>0</v>
      </c>
      <c r="N53" s="335">
        <f>$F43*N$33</f>
        <v>0</v>
      </c>
      <c r="O53" s="335">
        <f t="shared" si="23"/>
        <v>0</v>
      </c>
      <c r="P53" s="335">
        <f t="shared" si="23"/>
        <v>0</v>
      </c>
      <c r="Q53" s="335">
        <f t="shared" si="23"/>
        <v>0</v>
      </c>
      <c r="R53" s="335">
        <f t="shared" si="23"/>
        <v>0</v>
      </c>
      <c r="S53" s="335">
        <f t="shared" si="23"/>
        <v>0</v>
      </c>
      <c r="T53" s="335">
        <f t="shared" si="23"/>
        <v>0</v>
      </c>
      <c r="U53" s="335">
        <f t="shared" si="24"/>
        <v>0</v>
      </c>
      <c r="V53" s="335">
        <f t="shared" si="24"/>
        <v>0</v>
      </c>
      <c r="W53" s="335">
        <f t="shared" si="25"/>
        <v>0</v>
      </c>
      <c r="X53" s="335">
        <f t="shared" si="25"/>
        <v>0</v>
      </c>
    </row>
    <row r="54" spans="1:24" x14ac:dyDescent="0.2">
      <c r="C54" s="147"/>
      <c r="E54" s="291" t="s">
        <v>726</v>
      </c>
      <c r="F54" s="238"/>
      <c r="G54" s="291" t="str">
        <f>InpActive!$F$15</f>
        <v>£m (2017-18 FYA CPIH prices)</v>
      </c>
      <c r="H54" s="278"/>
      <c r="I54" s="154"/>
      <c r="J54" s="335">
        <f t="shared" ref="J54:T54" si="26">$F44*J$33</f>
        <v>0</v>
      </c>
      <c r="K54" s="335">
        <f t="shared" si="26"/>
        <v>0</v>
      </c>
      <c r="L54" s="335">
        <f t="shared" si="26"/>
        <v>0</v>
      </c>
      <c r="M54" s="335">
        <f t="shared" si="26"/>
        <v>0</v>
      </c>
      <c r="N54" s="335">
        <f t="shared" si="26"/>
        <v>0</v>
      </c>
      <c r="O54" s="335">
        <f t="shared" si="26"/>
        <v>0</v>
      </c>
      <c r="P54" s="335">
        <f t="shared" si="26"/>
        <v>0</v>
      </c>
      <c r="Q54" s="335">
        <f t="shared" si="26"/>
        <v>0</v>
      </c>
      <c r="R54" s="335">
        <f t="shared" si="26"/>
        <v>0</v>
      </c>
      <c r="S54" s="335">
        <f t="shared" si="26"/>
        <v>0</v>
      </c>
      <c r="T54" s="335">
        <f t="shared" si="26"/>
        <v>0</v>
      </c>
      <c r="U54" s="335">
        <f t="shared" ref="U54:V54" si="27">$F44*U$33</f>
        <v>0</v>
      </c>
      <c r="V54" s="335">
        <f t="shared" si="27"/>
        <v>0</v>
      </c>
      <c r="W54" s="335">
        <f t="shared" ref="W54:X54" si="28">$F44*W$33</f>
        <v>0</v>
      </c>
      <c r="X54" s="335">
        <f t="shared" si="28"/>
        <v>0</v>
      </c>
    </row>
    <row r="55" spans="1:24" x14ac:dyDescent="0.2">
      <c r="O55" s="375"/>
    </row>
    <row r="56" spans="1:24" s="208" customFormat="1" ht="13.5" x14ac:dyDescent="0.25">
      <c r="A56" s="208" t="s">
        <v>134</v>
      </c>
    </row>
    <row r="57" spans="1:24" x14ac:dyDescent="0.2"/>
    <row r="58" spans="1:24" x14ac:dyDescent="0.2"/>
    <row r="59" spans="1:24" x14ac:dyDescent="0.2"/>
    <row r="60" spans="1:24" x14ac:dyDescent="0.2"/>
    <row r="61" spans="1:24" x14ac:dyDescent="0.2"/>
    <row r="62" spans="1:24" x14ac:dyDescent="0.2"/>
  </sheetData>
  <conditionalFormatting sqref="F10:F22">
    <cfRule type="cellIs" dxfId="16" priority="23" operator="equal">
      <formula>0</formula>
    </cfRule>
  </conditionalFormatting>
  <conditionalFormatting sqref="F45:F54">
    <cfRule type="cellIs" dxfId="15" priority="33" operator="equal">
      <formula>0</formula>
    </cfRule>
  </conditionalFormatting>
  <conditionalFormatting sqref="H11:I22">
    <cfRule type="cellIs" dxfId="14" priority="24" operator="equal">
      <formula>0</formula>
    </cfRule>
  </conditionalFormatting>
  <conditionalFormatting sqref="H36:I44">
    <cfRule type="cellIs" dxfId="13" priority="21" operator="equal">
      <formula>0</formula>
    </cfRule>
  </conditionalFormatting>
  <conditionalFormatting sqref="H10:X10">
    <cfRule type="cellIs" dxfId="12" priority="32" operator="equal">
      <formula>0</formula>
    </cfRule>
  </conditionalFormatting>
  <conditionalFormatting sqref="J32">
    <cfRule type="cellIs" dxfId="11" priority="28" operator="equal">
      <formula>0</formula>
    </cfRule>
  </conditionalFormatting>
  <conditionalFormatting sqref="J3:X3">
    <cfRule type="cellIs" dxfId="10" priority="9" operator="equal">
      <formula>"Post-Fcst"</formula>
    </cfRule>
    <cfRule type="cellIs" dxfId="9" priority="10" operator="equal">
      <formula>"Post-Fcst Mod"</formula>
    </cfRule>
    <cfRule type="cellIs" dxfId="8" priority="11" operator="equal">
      <formula>"Forecast"</formula>
    </cfRule>
    <cfRule type="cellIs" dxfId="7" priority="12" operator="equal">
      <formula>"Pre Fcst"</formula>
    </cfRule>
  </conditionalFormatting>
  <conditionalFormatting sqref="J11:X14">
    <cfRule type="cellIs" dxfId="6" priority="4" operator="equal">
      <formula>0</formula>
    </cfRule>
  </conditionalFormatting>
  <conditionalFormatting sqref="J17:X17">
    <cfRule type="cellIs" dxfId="5" priority="41" operator="equal">
      <formula>0</formula>
    </cfRule>
  </conditionalFormatting>
  <conditionalFormatting sqref="J20:X20">
    <cfRule type="cellIs" dxfId="4" priority="42" operator="equal">
      <formula>0</formula>
    </cfRule>
  </conditionalFormatting>
  <conditionalFormatting sqref="J22:X22">
    <cfRule type="cellIs" dxfId="3" priority="2" operator="equal">
      <formula>0</formula>
    </cfRule>
  </conditionalFormatting>
  <conditionalFormatting sqref="J32:X33">
    <cfRule type="cellIs" dxfId="2" priority="3" operator="equal">
      <formula>0</formula>
    </cfRule>
  </conditionalFormatting>
  <conditionalFormatting sqref="J37:X44">
    <cfRule type="cellIs" dxfId="1" priority="1" operator="equal">
      <formula>0</formula>
    </cfRule>
  </conditionalFormatting>
  <conditionalFormatting sqref="K36:X36 H45:X54">
    <cfRule type="cellIs" dxfId="0" priority="48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CECC7-AC51-41B6-BCCD-DD3B99F68970}">
  <sheetPr>
    <pageSetUpPr fitToPage="1"/>
  </sheetPr>
  <dimension ref="A1:O33"/>
  <sheetViews>
    <sheetView zoomScale="80" zoomScaleNormal="80" workbookViewId="0"/>
  </sheetViews>
  <sheetFormatPr defaultRowHeight="14.25" x14ac:dyDescent="0.2"/>
  <cols>
    <col min="2" max="2" width="47.375" bestFit="1" customWidth="1"/>
    <col min="3" max="3" width="125.125" bestFit="1" customWidth="1"/>
    <col min="4" max="4" width="12.625" bestFit="1" customWidth="1"/>
    <col min="5" max="5" width="29.375" bestFit="1" customWidth="1"/>
    <col min="6" max="15" width="16.375" customWidth="1"/>
  </cols>
  <sheetData>
    <row r="1" spans="1:15" x14ac:dyDescent="0.2">
      <c r="A1" s="376"/>
      <c r="C1" t="s">
        <v>782</v>
      </c>
    </row>
    <row r="2" spans="1:15" x14ac:dyDescent="0.2">
      <c r="A2" t="s">
        <v>89</v>
      </c>
      <c r="B2" t="s">
        <v>24</v>
      </c>
      <c r="C2" t="s">
        <v>185</v>
      </c>
      <c r="D2" t="s">
        <v>186</v>
      </c>
      <c r="E2" t="s">
        <v>187</v>
      </c>
      <c r="F2" s="406" t="s">
        <v>195</v>
      </c>
      <c r="G2" s="406" t="s">
        <v>196</v>
      </c>
      <c r="H2" s="406" t="s">
        <v>197</v>
      </c>
      <c r="I2" s="406" t="s">
        <v>198</v>
      </c>
      <c r="J2" s="406" t="s">
        <v>94</v>
      </c>
      <c r="K2" s="428" t="s">
        <v>199</v>
      </c>
      <c r="L2" s="428" t="s">
        <v>200</v>
      </c>
      <c r="M2" s="428" t="s">
        <v>201</v>
      </c>
      <c r="N2" s="428" t="s">
        <v>202</v>
      </c>
      <c r="O2" s="428" t="s">
        <v>203</v>
      </c>
    </row>
    <row r="3" spans="1:15" x14ac:dyDescent="0.2">
      <c r="F3" s="406"/>
      <c r="G3" s="406"/>
      <c r="H3" s="406"/>
      <c r="I3" s="406"/>
      <c r="J3" s="406"/>
      <c r="K3" s="428"/>
      <c r="L3" s="428"/>
      <c r="M3" s="428"/>
      <c r="N3" s="428"/>
      <c r="O3" s="428"/>
    </row>
    <row r="4" spans="1:15" x14ac:dyDescent="0.2">
      <c r="B4" s="376" t="s">
        <v>255</v>
      </c>
      <c r="C4" s="376" t="s">
        <v>256</v>
      </c>
      <c r="D4" s="376" t="s">
        <v>208</v>
      </c>
      <c r="E4" s="376" t="s">
        <v>188</v>
      </c>
      <c r="F4" s="407">
        <f>Outputs!O10</f>
        <v>0</v>
      </c>
      <c r="G4" s="407">
        <f>Outputs!P10</f>
        <v>0</v>
      </c>
      <c r="H4" s="407">
        <f>Outputs!Q10</f>
        <v>0</v>
      </c>
      <c r="I4" s="407">
        <f>Outputs!R10</f>
        <v>0</v>
      </c>
      <c r="J4" s="407">
        <f>Outputs!S10</f>
        <v>0</v>
      </c>
      <c r="K4" s="433">
        <f>Outputs!T10</f>
        <v>0</v>
      </c>
      <c r="L4" s="433">
        <f>Outputs!U10</f>
        <v>0</v>
      </c>
      <c r="M4" s="433">
        <f>Outputs!V10</f>
        <v>-100</v>
      </c>
      <c r="N4" s="433">
        <f>Outputs!W10</f>
        <v>0</v>
      </c>
      <c r="O4" s="433">
        <f>Outputs!X10</f>
        <v>0</v>
      </c>
    </row>
    <row r="5" spans="1:15" x14ac:dyDescent="0.2">
      <c r="B5" s="376" t="s">
        <v>263</v>
      </c>
      <c r="C5" s="376" t="s">
        <v>264</v>
      </c>
      <c r="D5" s="376" t="s">
        <v>208</v>
      </c>
      <c r="E5" s="376" t="s">
        <v>188</v>
      </c>
      <c r="F5" s="407">
        <f>Outputs!O11</f>
        <v>0</v>
      </c>
      <c r="G5" s="407">
        <f>Outputs!P11</f>
        <v>0</v>
      </c>
      <c r="H5" s="407">
        <f>Outputs!Q11</f>
        <v>0</v>
      </c>
      <c r="I5" s="407">
        <f>Outputs!R11</f>
        <v>0</v>
      </c>
      <c r="J5" s="407">
        <f>Outputs!S11</f>
        <v>0</v>
      </c>
      <c r="K5" s="433">
        <f>Outputs!T11</f>
        <v>0</v>
      </c>
      <c r="L5" s="433">
        <f>Outputs!U11</f>
        <v>0</v>
      </c>
      <c r="M5" s="433">
        <f>Outputs!V11</f>
        <v>-100</v>
      </c>
      <c r="N5" s="433">
        <f>Outputs!W11</f>
        <v>0</v>
      </c>
      <c r="O5" s="433">
        <f>Outputs!X11</f>
        <v>0</v>
      </c>
    </row>
    <row r="6" spans="1:15" x14ac:dyDescent="0.2">
      <c r="B6" s="376" t="s">
        <v>271</v>
      </c>
      <c r="C6" s="376" t="s">
        <v>272</v>
      </c>
      <c r="D6" s="376" t="s">
        <v>208</v>
      </c>
      <c r="E6" s="376" t="s">
        <v>188</v>
      </c>
      <c r="F6" s="407">
        <f>Outputs!O12</f>
        <v>0</v>
      </c>
      <c r="G6" s="407">
        <f>Outputs!P12</f>
        <v>0</v>
      </c>
      <c r="H6" s="407">
        <f>Outputs!Q12</f>
        <v>0</v>
      </c>
      <c r="I6" s="407">
        <f>Outputs!R12</f>
        <v>0</v>
      </c>
      <c r="J6" s="407">
        <f>Outputs!S12</f>
        <v>0</v>
      </c>
      <c r="K6" s="433">
        <f>Outputs!T12</f>
        <v>0</v>
      </c>
      <c r="L6" s="433">
        <f>Outputs!U12</f>
        <v>0</v>
      </c>
      <c r="M6" s="433">
        <f>Outputs!V12</f>
        <v>-100</v>
      </c>
      <c r="N6" s="433">
        <f>Outputs!W12</f>
        <v>0</v>
      </c>
      <c r="O6" s="433">
        <f>Outputs!X12</f>
        <v>0</v>
      </c>
    </row>
    <row r="7" spans="1:15" x14ac:dyDescent="0.2">
      <c r="B7" s="376" t="s">
        <v>291</v>
      </c>
      <c r="C7" s="376" t="s">
        <v>292</v>
      </c>
      <c r="D7" s="376" t="s">
        <v>208</v>
      </c>
      <c r="E7" s="376" t="s">
        <v>188</v>
      </c>
      <c r="F7" s="407">
        <f>Outputs!O13</f>
        <v>0</v>
      </c>
      <c r="G7" s="407">
        <f>Outputs!P13</f>
        <v>0</v>
      </c>
      <c r="H7" s="407">
        <f>Outputs!Q13</f>
        <v>0</v>
      </c>
      <c r="I7" s="407">
        <f>Outputs!R13</f>
        <v>0</v>
      </c>
      <c r="J7" s="408">
        <f>Outputs!S13</f>
        <v>0</v>
      </c>
      <c r="K7" s="433">
        <f>Outputs!T13</f>
        <v>0</v>
      </c>
      <c r="L7" s="433">
        <f>Outputs!U13</f>
        <v>0</v>
      </c>
      <c r="M7" s="433">
        <f>Outputs!V13</f>
        <v>0</v>
      </c>
      <c r="N7" s="433">
        <f>Outputs!W13</f>
        <v>0</v>
      </c>
      <c r="O7" s="433">
        <f>Outputs!X13</f>
        <v>0</v>
      </c>
    </row>
    <row r="8" spans="1:15" x14ac:dyDescent="0.2">
      <c r="B8" s="452" t="s">
        <v>299</v>
      </c>
      <c r="C8" s="452" t="s">
        <v>300</v>
      </c>
      <c r="D8" s="376" t="s">
        <v>208</v>
      </c>
      <c r="E8" s="376" t="s">
        <v>188</v>
      </c>
      <c r="F8" s="407">
        <f>Outputs!O14</f>
        <v>0</v>
      </c>
      <c r="G8" s="407">
        <f>Outputs!P14</f>
        <v>0</v>
      </c>
      <c r="H8" s="407">
        <f>Outputs!Q14</f>
        <v>0</v>
      </c>
      <c r="I8" s="407">
        <f>Outputs!R14</f>
        <v>0</v>
      </c>
      <c r="J8" s="408">
        <f>Outputs!S14</f>
        <v>0</v>
      </c>
      <c r="K8" s="433">
        <f>Outputs!T14</f>
        <v>0</v>
      </c>
      <c r="L8" s="433">
        <f>Outputs!U14</f>
        <v>0</v>
      </c>
      <c r="M8" s="433">
        <f>Outputs!V14</f>
        <v>0</v>
      </c>
      <c r="N8" s="433">
        <f>Outputs!W14</f>
        <v>0</v>
      </c>
      <c r="O8" s="433">
        <f>Outputs!X14</f>
        <v>0</v>
      </c>
    </row>
    <row r="9" spans="1:15" x14ac:dyDescent="0.2">
      <c r="B9" s="376" t="s">
        <v>283</v>
      </c>
      <c r="C9" s="376" t="s">
        <v>284</v>
      </c>
      <c r="D9" s="376" t="s">
        <v>250</v>
      </c>
      <c r="E9" s="376" t="s">
        <v>188</v>
      </c>
      <c r="F9" s="409">
        <f>Outputs!O17</f>
        <v>0</v>
      </c>
      <c r="G9" s="409">
        <f>Outputs!P17</f>
        <v>0</v>
      </c>
      <c r="H9" s="409">
        <f>Outputs!Q17</f>
        <v>0</v>
      </c>
      <c r="I9" s="409">
        <f>Outputs!R17</f>
        <v>0</v>
      </c>
      <c r="J9" s="409">
        <f>Outputs!S17</f>
        <v>0</v>
      </c>
      <c r="K9" s="411">
        <f>Outputs!T17</f>
        <v>0</v>
      </c>
      <c r="L9" s="411">
        <f>Outputs!U17</f>
        <v>0</v>
      </c>
      <c r="M9" s="411">
        <f>Outputs!V17</f>
        <v>0</v>
      </c>
      <c r="N9" s="411">
        <f>Outputs!W17</f>
        <v>0</v>
      </c>
      <c r="O9" s="411">
        <f>Outputs!X17</f>
        <v>0</v>
      </c>
    </row>
    <row r="10" spans="1:15" x14ac:dyDescent="0.2">
      <c r="B10" s="376" t="s">
        <v>304</v>
      </c>
      <c r="C10" s="376" t="s">
        <v>305</v>
      </c>
      <c r="D10" s="376" t="s">
        <v>303</v>
      </c>
      <c r="E10" s="376" t="s">
        <v>188</v>
      </c>
      <c r="F10" s="409">
        <f>Outputs!O20</f>
        <v>0</v>
      </c>
      <c r="G10" s="409">
        <f>Outputs!P20</f>
        <v>0</v>
      </c>
      <c r="H10" s="409">
        <f>Outputs!Q20</f>
        <v>0</v>
      </c>
      <c r="I10" s="409">
        <f>Outputs!R20</f>
        <v>0</v>
      </c>
      <c r="J10" s="409">
        <f>Outputs!S20</f>
        <v>0</v>
      </c>
      <c r="K10" s="411">
        <f>Outputs!T20</f>
        <v>0</v>
      </c>
      <c r="L10" s="411" t="e">
        <f>Outputs!U20</f>
        <v>#DIV/0!</v>
      </c>
      <c r="M10" s="411">
        <f>Outputs!V20</f>
        <v>0</v>
      </c>
      <c r="N10" s="411">
        <f>Outputs!W20</f>
        <v>0</v>
      </c>
      <c r="O10" s="411">
        <f>Outputs!X20</f>
        <v>0</v>
      </c>
    </row>
    <row r="11" spans="1:15" x14ac:dyDescent="0.2">
      <c r="B11" s="376" t="s">
        <v>321</v>
      </c>
      <c r="C11" s="376" t="s">
        <v>322</v>
      </c>
      <c r="D11" s="376" t="s">
        <v>303</v>
      </c>
      <c r="E11" s="376" t="s">
        <v>188</v>
      </c>
      <c r="F11" s="409">
        <f>Outputs!O23</f>
        <v>0</v>
      </c>
      <c r="G11" s="409">
        <f>Outputs!P23</f>
        <v>0</v>
      </c>
      <c r="H11" s="409">
        <f>Outputs!Q23</f>
        <v>0</v>
      </c>
      <c r="I11" s="409">
        <f>Outputs!R23</f>
        <v>0</v>
      </c>
      <c r="J11" s="409">
        <f>Outputs!S23</f>
        <v>0</v>
      </c>
      <c r="K11" s="411">
        <f>Outputs!T23</f>
        <v>0</v>
      </c>
      <c r="L11" s="411">
        <f>Outputs!U23</f>
        <v>0</v>
      </c>
      <c r="M11" s="411">
        <f>Outputs!V23</f>
        <v>0</v>
      </c>
      <c r="N11" s="411">
        <f>Outputs!W23</f>
        <v>0</v>
      </c>
      <c r="O11" s="411">
        <f>Outputs!X23</f>
        <v>0</v>
      </c>
    </row>
    <row r="12" spans="1:15" x14ac:dyDescent="0.2">
      <c r="B12" s="376" t="s">
        <v>323</v>
      </c>
      <c r="C12" s="376" t="s">
        <v>775</v>
      </c>
      <c r="D12" s="376" t="s">
        <v>303</v>
      </c>
      <c r="E12" s="376" t="s">
        <v>188</v>
      </c>
      <c r="F12" s="409">
        <f>Outputs!O24</f>
        <v>0</v>
      </c>
      <c r="G12" s="409">
        <f>Outputs!P24</f>
        <v>0</v>
      </c>
      <c r="H12" s="409">
        <f>Outputs!Q24</f>
        <v>0</v>
      </c>
      <c r="I12" s="409">
        <f>Outputs!R24</f>
        <v>0</v>
      </c>
      <c r="J12" s="409">
        <f>Outputs!S24</f>
        <v>0</v>
      </c>
      <c r="K12" s="411">
        <f>Outputs!T24</f>
        <v>0</v>
      </c>
      <c r="L12" s="411">
        <f>Outputs!U24</f>
        <v>0</v>
      </c>
      <c r="M12" s="411">
        <f>Outputs!V24</f>
        <v>0</v>
      </c>
      <c r="N12" s="411">
        <f>Outputs!W24</f>
        <v>0</v>
      </c>
      <c r="O12" s="411">
        <f>Outputs!X24</f>
        <v>0</v>
      </c>
    </row>
    <row r="13" spans="1:15" x14ac:dyDescent="0.2">
      <c r="B13" s="376" t="s">
        <v>783</v>
      </c>
      <c r="C13" s="376" t="s">
        <v>784</v>
      </c>
      <c r="D13" s="376" t="s">
        <v>250</v>
      </c>
      <c r="E13" s="376" t="s">
        <v>188</v>
      </c>
      <c r="F13" s="410" t="str">
        <f>IF(Outputs!O$33 = 1, Outputs!O46, "##BLANK")</f>
        <v>##BLANK</v>
      </c>
      <c r="G13" s="410" t="str">
        <f>IF(Outputs!P$33 = 1, Outputs!P46, "##BLANK")</f>
        <v>##BLANK</v>
      </c>
      <c r="H13" s="410" t="str">
        <f>IF(Outputs!Q$33 = 1, Outputs!Q46, "##BLANK")</f>
        <v>##BLANK</v>
      </c>
      <c r="I13" s="410" t="str">
        <f>IF(Outputs!R$33 = 1, Outputs!R46, "##BLANK")</f>
        <v>##BLANK</v>
      </c>
      <c r="J13" s="410" t="str">
        <f>IF(Outputs!S$33 = 1, Outputs!S46, "##BLANK")</f>
        <v>##BLANK</v>
      </c>
      <c r="K13" s="433">
        <f>IF(Outputs!T$33 = 1, Outputs!T46, "##BLANK")</f>
        <v>0</v>
      </c>
      <c r="L13" s="433" t="str">
        <f>IF(Outputs!U$33 = 1, Outputs!U46, "##BLANK")</f>
        <v>##BLANK</v>
      </c>
      <c r="M13" s="433" t="str">
        <f>IF(Outputs!V$33 = 1, Outputs!V46, "##BLANK")</f>
        <v>##BLANK</v>
      </c>
      <c r="N13" s="433" t="str">
        <f>IF(Outputs!W$33 = 1, Outputs!W46, "##BLANK")</f>
        <v>##BLANK</v>
      </c>
      <c r="O13" s="433" t="str">
        <f>IF(Outputs!X$33 = 1, Outputs!X46, "##BLANK")</f>
        <v>##BLANK</v>
      </c>
    </row>
    <row r="14" spans="1:15" x14ac:dyDescent="0.2">
      <c r="B14" s="376" t="s">
        <v>785</v>
      </c>
      <c r="C14" s="376" t="s">
        <v>786</v>
      </c>
      <c r="D14" s="376" t="s">
        <v>250</v>
      </c>
      <c r="E14" s="376" t="s">
        <v>188</v>
      </c>
      <c r="F14" s="410" t="str">
        <f>IF(Outputs!O$33 = 1, Outputs!O47, "##BLANK")</f>
        <v>##BLANK</v>
      </c>
      <c r="G14" s="410" t="str">
        <f>IF(Outputs!P$33 = 1, Outputs!P47, "##BLANK")</f>
        <v>##BLANK</v>
      </c>
      <c r="H14" s="410" t="str">
        <f>IF(Outputs!Q$33 = 1, Outputs!Q47, "##BLANK")</f>
        <v>##BLANK</v>
      </c>
      <c r="I14" s="410" t="str">
        <f>IF(Outputs!R$33 = 1, Outputs!R47, "##BLANK")</f>
        <v>##BLANK</v>
      </c>
      <c r="J14" s="410" t="str">
        <f>IF(Outputs!S$33 = 1, Outputs!S47, "##BLANK")</f>
        <v>##BLANK</v>
      </c>
      <c r="K14" s="433">
        <f>IF(Outputs!T$33 = 1, Outputs!T47, "##BLANK")</f>
        <v>0</v>
      </c>
      <c r="L14" s="433" t="str">
        <f>IF(Outputs!U$33 = 1, Outputs!U47, "##BLANK")</f>
        <v>##BLANK</v>
      </c>
      <c r="M14" s="433" t="str">
        <f>IF(Outputs!V$33 = 1, Outputs!V47, "##BLANK")</f>
        <v>##BLANK</v>
      </c>
      <c r="N14" s="433" t="str">
        <f>IF(Outputs!W$33 = 1, Outputs!W47, "##BLANK")</f>
        <v>##BLANK</v>
      </c>
      <c r="O14" s="433" t="str">
        <f>IF(Outputs!X$33 = 1, Outputs!X47, "##BLANK")</f>
        <v>##BLANK</v>
      </c>
    </row>
    <row r="15" spans="1:15" x14ac:dyDescent="0.2">
      <c r="B15" s="376" t="s">
        <v>787</v>
      </c>
      <c r="C15" s="376" t="s">
        <v>788</v>
      </c>
      <c r="D15" s="376" t="s">
        <v>250</v>
      </c>
      <c r="E15" s="376" t="s">
        <v>188</v>
      </c>
      <c r="F15" s="410" t="str">
        <f>IF(Outputs!O$33 = 1, Outputs!O48, "##BLANK")</f>
        <v>##BLANK</v>
      </c>
      <c r="G15" s="410" t="str">
        <f>IF(Outputs!P$33 = 1, Outputs!P48, "##BLANK")</f>
        <v>##BLANK</v>
      </c>
      <c r="H15" s="410" t="str">
        <f>IF(Outputs!Q$33 = 1, Outputs!Q48, "##BLANK")</f>
        <v>##BLANK</v>
      </c>
      <c r="I15" s="410" t="str">
        <f>IF(Outputs!R$33 = 1, Outputs!R48, "##BLANK")</f>
        <v>##BLANK</v>
      </c>
      <c r="J15" s="410" t="str">
        <f>IF(Outputs!S$33 = 1, Outputs!S48, "##BLANK")</f>
        <v>##BLANK</v>
      </c>
      <c r="K15" s="433">
        <f>IF(Outputs!T$33 = 1, Outputs!T48, "##BLANK")</f>
        <v>0</v>
      </c>
      <c r="L15" s="433" t="str">
        <f>IF(Outputs!U$33 = 1, Outputs!U48, "##BLANK")</f>
        <v>##BLANK</v>
      </c>
      <c r="M15" s="433" t="str">
        <f>IF(Outputs!V$33 = 1, Outputs!V48, "##BLANK")</f>
        <v>##BLANK</v>
      </c>
      <c r="N15" s="433" t="str">
        <f>IF(Outputs!W$33 = 1, Outputs!W48, "##BLANK")</f>
        <v>##BLANK</v>
      </c>
      <c r="O15" s="433" t="str">
        <f>IF(Outputs!X$33 = 1, Outputs!X48, "##BLANK")</f>
        <v>##BLANK</v>
      </c>
    </row>
    <row r="16" spans="1:15" x14ac:dyDescent="0.2">
      <c r="B16" s="376" t="s">
        <v>789</v>
      </c>
      <c r="C16" s="376" t="s">
        <v>790</v>
      </c>
      <c r="D16" s="376" t="s">
        <v>250</v>
      </c>
      <c r="E16" s="376" t="s">
        <v>188</v>
      </c>
      <c r="F16" s="410" t="str">
        <f>IF(Outputs!O$33 = 1, Outputs!O49, "##BLANK")</f>
        <v>##BLANK</v>
      </c>
      <c r="G16" s="410" t="str">
        <f>IF(Outputs!P$33 = 1, Outputs!P49, "##BLANK")</f>
        <v>##BLANK</v>
      </c>
      <c r="H16" s="410" t="str">
        <f>IF(Outputs!Q$33 = 1, Outputs!Q49, "##BLANK")</f>
        <v>##BLANK</v>
      </c>
      <c r="I16" s="410" t="str">
        <f>IF(Outputs!R$33 = 1, Outputs!R49, "##BLANK")</f>
        <v>##BLANK</v>
      </c>
      <c r="J16" s="410" t="str">
        <f>IF(Outputs!S$33 = 1, Outputs!S49, "##BLANK")</f>
        <v>##BLANK</v>
      </c>
      <c r="K16" s="433">
        <f>IF(Outputs!T$33 = 1, Outputs!T49, "##BLANK")</f>
        <v>0</v>
      </c>
      <c r="L16" s="433" t="str">
        <f>IF(Outputs!U$33 = 1, Outputs!U49, "##BLANK")</f>
        <v>##BLANK</v>
      </c>
      <c r="M16" s="433" t="str">
        <f>IF(Outputs!V$33 = 1, Outputs!V49, "##BLANK")</f>
        <v>##BLANK</v>
      </c>
      <c r="N16" s="433" t="str">
        <f>IF(Outputs!W$33 = 1, Outputs!W49, "##BLANK")</f>
        <v>##BLANK</v>
      </c>
      <c r="O16" s="433" t="str">
        <f>IF(Outputs!X$33 = 1, Outputs!X49, "##BLANK")</f>
        <v>##BLANK</v>
      </c>
    </row>
    <row r="17" spans="2:15" x14ac:dyDescent="0.2">
      <c r="B17" s="376" t="s">
        <v>791</v>
      </c>
      <c r="C17" s="376" t="s">
        <v>792</v>
      </c>
      <c r="D17" s="376" t="s">
        <v>250</v>
      </c>
      <c r="E17" s="376" t="s">
        <v>188</v>
      </c>
      <c r="F17" s="410" t="str">
        <f>IF(Outputs!O$33 = 1, Outputs!O50, "##BLANK")</f>
        <v>##BLANK</v>
      </c>
      <c r="G17" s="410" t="str">
        <f>IF(Outputs!P$33 = 1, Outputs!P50, "##BLANK")</f>
        <v>##BLANK</v>
      </c>
      <c r="H17" s="410" t="str">
        <f>IF(Outputs!Q$33 = 1, Outputs!Q50, "##BLANK")</f>
        <v>##BLANK</v>
      </c>
      <c r="I17" s="410" t="str">
        <f>IF(Outputs!R$33 = 1, Outputs!R50, "##BLANK")</f>
        <v>##BLANK</v>
      </c>
      <c r="J17" s="410" t="str">
        <f>IF(Outputs!S$33 = 1, Outputs!S50, "##BLANK")</f>
        <v>##BLANK</v>
      </c>
      <c r="K17" s="433">
        <f>IF(Outputs!T$33 = 1, Outputs!T50, "##BLANK")</f>
        <v>0</v>
      </c>
      <c r="L17" s="433" t="str">
        <f>IF(Outputs!U$33 = 1, Outputs!U50, "##BLANK")</f>
        <v>##BLANK</v>
      </c>
      <c r="M17" s="433" t="str">
        <f>IF(Outputs!V$33 = 1, Outputs!V50, "##BLANK")</f>
        <v>##BLANK</v>
      </c>
      <c r="N17" s="433" t="str">
        <f>IF(Outputs!W$33 = 1, Outputs!W50, "##BLANK")</f>
        <v>##BLANK</v>
      </c>
      <c r="O17" s="433" t="str">
        <f>IF(Outputs!X$33 = 1, Outputs!X50, "##BLANK")</f>
        <v>##BLANK</v>
      </c>
    </row>
    <row r="18" spans="2:15" x14ac:dyDescent="0.2">
      <c r="B18" s="376" t="s">
        <v>793</v>
      </c>
      <c r="C18" s="376" t="s">
        <v>794</v>
      </c>
      <c r="D18" s="376" t="s">
        <v>250</v>
      </c>
      <c r="E18" s="376" t="s">
        <v>188</v>
      </c>
      <c r="F18" s="410" t="str">
        <f>IF(Outputs!O$33 = 1, Outputs!O51, "##BLANK")</f>
        <v>##BLANK</v>
      </c>
      <c r="G18" s="410" t="str">
        <f>IF(Outputs!P$33 = 1, Outputs!P51, "##BLANK")</f>
        <v>##BLANK</v>
      </c>
      <c r="H18" s="410" t="str">
        <f>IF(Outputs!Q$33 = 1, Outputs!Q51, "##BLANK")</f>
        <v>##BLANK</v>
      </c>
      <c r="I18" s="410" t="str">
        <f>IF(Outputs!R$33 = 1, Outputs!R51, "##BLANK")</f>
        <v>##BLANK</v>
      </c>
      <c r="J18" s="410" t="str">
        <f>IF(Outputs!S$33 = 1, Outputs!S51, "##BLANK")</f>
        <v>##BLANK</v>
      </c>
      <c r="K18" s="433">
        <f>IF(Outputs!T$33 = 1, Outputs!T51, "##BLANK")</f>
        <v>0</v>
      </c>
      <c r="L18" s="433" t="str">
        <f>IF(Outputs!U$33 = 1, Outputs!U51, "##BLANK")</f>
        <v>##BLANK</v>
      </c>
      <c r="M18" s="433" t="str">
        <f>IF(Outputs!V$33 = 1, Outputs!V51, "##BLANK")</f>
        <v>##BLANK</v>
      </c>
      <c r="N18" s="433" t="str">
        <f>IF(Outputs!W$33 = 1, Outputs!W51, "##BLANK")</f>
        <v>##BLANK</v>
      </c>
      <c r="O18" s="433" t="str">
        <f>IF(Outputs!X$33 = 1, Outputs!X51, "##BLANK")</f>
        <v>##BLANK</v>
      </c>
    </row>
    <row r="19" spans="2:15" x14ac:dyDescent="0.2">
      <c r="B19" s="376" t="s">
        <v>795</v>
      </c>
      <c r="C19" s="376" t="s">
        <v>796</v>
      </c>
      <c r="D19" s="376" t="s">
        <v>250</v>
      </c>
      <c r="E19" s="376" t="s">
        <v>188</v>
      </c>
      <c r="F19" s="410" t="str">
        <f>IF(Outputs!O$33 = 1, Outputs!O52, "##BLANK")</f>
        <v>##BLANK</v>
      </c>
      <c r="G19" s="410" t="str">
        <f>IF(Outputs!P$33 = 1, Outputs!P52, "##BLANK")</f>
        <v>##BLANK</v>
      </c>
      <c r="H19" s="410" t="str">
        <f>IF(Outputs!Q$33 = 1, Outputs!Q52, "##BLANK")</f>
        <v>##BLANK</v>
      </c>
      <c r="I19" s="410" t="str">
        <f>IF(Outputs!R$33 = 1, Outputs!R52, "##BLANK")</f>
        <v>##BLANK</v>
      </c>
      <c r="J19" s="410" t="str">
        <f>IF(Outputs!S$33 = 1, Outputs!S52, "##BLANK")</f>
        <v>##BLANK</v>
      </c>
      <c r="K19" s="433">
        <f>IF(Outputs!T$33 = 1, Outputs!T52, "##BLANK")</f>
        <v>0</v>
      </c>
      <c r="L19" s="433" t="str">
        <f>IF(Outputs!U$33 = 1, Outputs!U52, "##BLANK")</f>
        <v>##BLANK</v>
      </c>
      <c r="M19" s="433" t="str">
        <f>IF(Outputs!V$33 = 1, Outputs!V52, "##BLANK")</f>
        <v>##BLANK</v>
      </c>
      <c r="N19" s="433" t="str">
        <f>IF(Outputs!W$33 = 1, Outputs!W52, "##BLANK")</f>
        <v>##BLANK</v>
      </c>
      <c r="O19" s="433" t="str">
        <f>IF(Outputs!X$33 = 1, Outputs!X52, "##BLANK")</f>
        <v>##BLANK</v>
      </c>
    </row>
    <row r="20" spans="2:15" x14ac:dyDescent="0.2">
      <c r="B20" s="452" t="s">
        <v>797</v>
      </c>
      <c r="C20" s="452" t="s">
        <v>798</v>
      </c>
      <c r="D20" s="376" t="s">
        <v>250</v>
      </c>
      <c r="E20" s="376" t="s">
        <v>188</v>
      </c>
      <c r="F20" s="410" t="str">
        <f>IF(Outputs!O$33 = 1, Outputs!O53, "##BLANK")</f>
        <v>##BLANK</v>
      </c>
      <c r="G20" s="410" t="str">
        <f>IF(Outputs!P$33 = 1, Outputs!P53, "##BLANK")</f>
        <v>##BLANK</v>
      </c>
      <c r="H20" s="410" t="str">
        <f>IF(Outputs!Q$33 = 1, Outputs!Q53, "##BLANK")</f>
        <v>##BLANK</v>
      </c>
      <c r="I20" s="410" t="str">
        <f>IF(Outputs!R$33 = 1, Outputs!R53, "##BLANK")</f>
        <v>##BLANK</v>
      </c>
      <c r="J20" s="410" t="str">
        <f>IF(Outputs!S$33 = 1, Outputs!S53, "##BLANK")</f>
        <v>##BLANK</v>
      </c>
      <c r="K20" s="433">
        <f>IF(Outputs!T$33 = 1, Outputs!T53, "##BLANK")</f>
        <v>0</v>
      </c>
      <c r="L20" s="433" t="str">
        <f>IF(Outputs!U$33 = 1, Outputs!U53, "##BLANK")</f>
        <v>##BLANK</v>
      </c>
      <c r="M20" s="433" t="str">
        <f>IF(Outputs!V$33 = 1, Outputs!V53, "##BLANK")</f>
        <v>##BLANK</v>
      </c>
      <c r="N20" s="433" t="str">
        <f>IF(Outputs!W$33 = 1, Outputs!W53, "##BLANK")</f>
        <v>##BLANK</v>
      </c>
      <c r="O20" s="433" t="str">
        <f>IF(Outputs!X$33 = 1, Outputs!X53, "##BLANK")</f>
        <v>##BLANK</v>
      </c>
    </row>
    <row r="21" spans="2:15" x14ac:dyDescent="0.2">
      <c r="B21" s="452" t="s">
        <v>799</v>
      </c>
      <c r="C21" s="452" t="s">
        <v>800</v>
      </c>
      <c r="D21" s="376" t="s">
        <v>250</v>
      </c>
      <c r="E21" s="376" t="s">
        <v>188</v>
      </c>
      <c r="F21" s="410" t="str">
        <f>IF(Outputs!O$33 = 1, Outputs!O54, "##BLANK")</f>
        <v>##BLANK</v>
      </c>
      <c r="G21" s="410" t="str">
        <f>IF(Outputs!P$33 = 1, Outputs!P54, "##BLANK")</f>
        <v>##BLANK</v>
      </c>
      <c r="H21" s="410" t="str">
        <f>IF(Outputs!Q$33 = 1, Outputs!Q54, "##BLANK")</f>
        <v>##BLANK</v>
      </c>
      <c r="I21" s="410" t="str">
        <f>IF(Outputs!R$33 = 1, Outputs!R54, "##BLANK")</f>
        <v>##BLANK</v>
      </c>
      <c r="J21" s="410" t="str">
        <f>IF(Outputs!S$33 = 1, Outputs!S54, "##BLANK")</f>
        <v>##BLANK</v>
      </c>
      <c r="K21" s="433">
        <f>IF(Outputs!T$33 = 1, Outputs!T54, "##BLANK")</f>
        <v>0</v>
      </c>
      <c r="L21" s="433" t="str">
        <f>IF(Outputs!U$33 = 1, Outputs!U54, "##BLANK")</f>
        <v>##BLANK</v>
      </c>
      <c r="M21" s="433" t="str">
        <f>IF(Outputs!V$33 = 1, Outputs!V54, "##BLANK")</f>
        <v>##BLANK</v>
      </c>
      <c r="N21" s="433" t="str">
        <f>IF(Outputs!W$33 = 1, Outputs!W54, "##BLANK")</f>
        <v>##BLANK</v>
      </c>
      <c r="O21" s="433" t="str">
        <f>IF(Outputs!X$33 = 1, Outputs!X54, "##BLANK")</f>
        <v>##BLANK</v>
      </c>
    </row>
    <row r="22" spans="2:15" x14ac:dyDescent="0.2">
      <c r="B22" s="452" t="s">
        <v>801</v>
      </c>
      <c r="C22" s="452" t="s">
        <v>802</v>
      </c>
      <c r="D22" s="376" t="s">
        <v>250</v>
      </c>
      <c r="E22" s="376" t="s">
        <v>188</v>
      </c>
      <c r="F22" s="408">
        <f>'Water resources'!O$30</f>
        <v>0</v>
      </c>
      <c r="G22" s="408">
        <f>'Water resources'!P$30</f>
        <v>0</v>
      </c>
      <c r="H22" s="408">
        <f>'Water resources'!Q$30</f>
        <v>0</v>
      </c>
      <c r="I22" s="408">
        <f>'Water resources'!R$30</f>
        <v>0</v>
      </c>
      <c r="J22" s="408">
        <f>'Water resources'!S$30</f>
        <v>0</v>
      </c>
      <c r="K22" s="433">
        <f>'Water resources'!T$30</f>
        <v>0</v>
      </c>
      <c r="L22" s="433">
        <f>'Water resources'!U$30</f>
        <v>0</v>
      </c>
      <c r="M22" s="433">
        <f>'Water resources'!V$30</f>
        <v>0</v>
      </c>
      <c r="N22" s="433">
        <f>'Water resources'!W$30</f>
        <v>0</v>
      </c>
      <c r="O22" s="433">
        <f>'Water resources'!X$30</f>
        <v>0</v>
      </c>
    </row>
    <row r="23" spans="2:15" x14ac:dyDescent="0.2">
      <c r="B23" s="452" t="s">
        <v>803</v>
      </c>
      <c r="C23" s="452" t="s">
        <v>804</v>
      </c>
      <c r="D23" s="376" t="s">
        <v>250</v>
      </c>
      <c r="E23" s="376" t="s">
        <v>188</v>
      </c>
      <c r="F23" s="408">
        <f>'Water resources'!O$51</f>
        <v>0</v>
      </c>
      <c r="G23" s="408">
        <f>'Water resources'!P$51</f>
        <v>0</v>
      </c>
      <c r="H23" s="408">
        <f>'Water resources'!Q$51</f>
        <v>0</v>
      </c>
      <c r="I23" s="408">
        <f>'Water resources'!R$51</f>
        <v>0</v>
      </c>
      <c r="J23" s="408">
        <f>'Water resources'!S$51</f>
        <v>0</v>
      </c>
      <c r="K23" s="433">
        <f>'Water resources'!T$51</f>
        <v>0</v>
      </c>
      <c r="L23" s="433">
        <f>'Water resources'!U$51</f>
        <v>-8.7999999999999995E-2</v>
      </c>
      <c r="M23" s="433">
        <f>'Water resources'!V$51</f>
        <v>0</v>
      </c>
      <c r="N23" s="433">
        <f>'Water resources'!W$51</f>
        <v>0</v>
      </c>
      <c r="O23" s="433">
        <f>'Water resources'!X$51</f>
        <v>0</v>
      </c>
    </row>
    <row r="24" spans="2:15" x14ac:dyDescent="0.2">
      <c r="B24" s="452" t="s">
        <v>805</v>
      </c>
      <c r="C24" s="452" t="s">
        <v>806</v>
      </c>
      <c r="D24" s="376" t="s">
        <v>250</v>
      </c>
      <c r="E24" s="376" t="s">
        <v>188</v>
      </c>
      <c r="F24" s="408">
        <f>'Water network plus'!O$30</f>
        <v>0</v>
      </c>
      <c r="G24" s="408">
        <f>'Water network plus'!P$30</f>
        <v>0</v>
      </c>
      <c r="H24" s="408">
        <f>'Water network plus'!Q$30</f>
        <v>0</v>
      </c>
      <c r="I24" s="408">
        <f>'Water network plus'!R$30</f>
        <v>0</v>
      </c>
      <c r="J24" s="408">
        <f>'Water network plus'!S$30</f>
        <v>0</v>
      </c>
      <c r="K24" s="433">
        <f>'Water network plus'!T$30</f>
        <v>0</v>
      </c>
      <c r="L24" s="433">
        <f>'Water network plus'!U$30</f>
        <v>0</v>
      </c>
      <c r="M24" s="433">
        <f>'Water network plus'!V$30</f>
        <v>0</v>
      </c>
      <c r="N24" s="433">
        <f>'Water network plus'!W$30</f>
        <v>0</v>
      </c>
      <c r="O24" s="433">
        <f>'Water network plus'!X$30</f>
        <v>0</v>
      </c>
    </row>
    <row r="25" spans="2:15" x14ac:dyDescent="0.2">
      <c r="B25" s="452" t="s">
        <v>807</v>
      </c>
      <c r="C25" s="452" t="s">
        <v>808</v>
      </c>
      <c r="D25" s="376" t="s">
        <v>250</v>
      </c>
      <c r="E25" s="376" t="s">
        <v>188</v>
      </c>
      <c r="F25" s="408">
        <f>'Water network plus'!O$51</f>
        <v>0</v>
      </c>
      <c r="G25" s="408">
        <f>'Water network plus'!P$51</f>
        <v>0</v>
      </c>
      <c r="H25" s="408">
        <f>'Water network plus'!Q$51</f>
        <v>0</v>
      </c>
      <c r="I25" s="408">
        <f>'Water network plus'!R$51</f>
        <v>0</v>
      </c>
      <c r="J25" s="408">
        <f>'Water network plus'!S$51</f>
        <v>0</v>
      </c>
      <c r="K25" s="433">
        <f>'Water network plus'!T$51</f>
        <v>0</v>
      </c>
      <c r="L25" s="433">
        <f>'Water network plus'!U$51</f>
        <v>-20.254644814182257</v>
      </c>
      <c r="M25" s="433">
        <f>'Water network plus'!V$51</f>
        <v>0</v>
      </c>
      <c r="N25" s="433">
        <f>'Water network plus'!W$51</f>
        <v>0</v>
      </c>
      <c r="O25" s="433">
        <f>'Water network plus'!X$51</f>
        <v>0</v>
      </c>
    </row>
    <row r="26" spans="2:15" x14ac:dyDescent="0.2">
      <c r="B26" s="452" t="s">
        <v>809</v>
      </c>
      <c r="C26" s="452" t="s">
        <v>810</v>
      </c>
      <c r="D26" s="376" t="s">
        <v>250</v>
      </c>
      <c r="E26" s="376" t="s">
        <v>188</v>
      </c>
      <c r="F26" s="408">
        <f>'Wastewater network plus'!O$30</f>
        <v>0</v>
      </c>
      <c r="G26" s="408">
        <f>'Wastewater network plus'!P$30</f>
        <v>0</v>
      </c>
      <c r="H26" s="408">
        <f>'Wastewater network plus'!Q$30</f>
        <v>0</v>
      </c>
      <c r="I26" s="408">
        <f>'Wastewater network plus'!R$30</f>
        <v>0</v>
      </c>
      <c r="J26" s="408">
        <f>'Wastewater network plus'!S$30</f>
        <v>0</v>
      </c>
      <c r="K26" s="433">
        <f>'Wastewater network plus'!T$30</f>
        <v>0</v>
      </c>
      <c r="L26" s="433">
        <f>'Wastewater network plus'!U$30</f>
        <v>0</v>
      </c>
      <c r="M26" s="433">
        <f>'Wastewater network plus'!V$30</f>
        <v>0</v>
      </c>
      <c r="N26" s="433">
        <f>'Wastewater network plus'!W$30</f>
        <v>0</v>
      </c>
      <c r="O26" s="433">
        <f>'Wastewater network plus'!X$30</f>
        <v>0</v>
      </c>
    </row>
    <row r="27" spans="2:15" x14ac:dyDescent="0.2">
      <c r="B27" s="452" t="s">
        <v>811</v>
      </c>
      <c r="C27" s="452" t="s">
        <v>812</v>
      </c>
      <c r="D27" s="376" t="s">
        <v>250</v>
      </c>
      <c r="E27" s="376" t="s">
        <v>188</v>
      </c>
      <c r="F27" s="408">
        <f>'Wastewater network plus'!O$51</f>
        <v>0</v>
      </c>
      <c r="G27" s="408">
        <f>'Wastewater network plus'!P$51</f>
        <v>0</v>
      </c>
      <c r="H27" s="408">
        <f>'Wastewater network plus'!Q$51</f>
        <v>0</v>
      </c>
      <c r="I27" s="408">
        <f>'Wastewater network plus'!R$51</f>
        <v>0</v>
      </c>
      <c r="J27" s="408">
        <f>'Wastewater network plus'!S$51</f>
        <v>0</v>
      </c>
      <c r="K27" s="433">
        <f>'Wastewater network plus'!T$51</f>
        <v>0</v>
      </c>
      <c r="L27" s="433">
        <f>'Wastewater network plus'!U$51</f>
        <v>-16.892210759495828</v>
      </c>
      <c r="M27" s="433">
        <f>'Wastewater network plus'!V$51</f>
        <v>0</v>
      </c>
      <c r="N27" s="433">
        <f>'Wastewater network plus'!W$51</f>
        <v>0</v>
      </c>
      <c r="O27" s="433">
        <f>'Wastewater network plus'!X$51</f>
        <v>0</v>
      </c>
    </row>
    <row r="28" spans="2:15" x14ac:dyDescent="0.2">
      <c r="B28" s="452" t="s">
        <v>813</v>
      </c>
      <c r="C28" s="452" t="s">
        <v>814</v>
      </c>
      <c r="D28" s="376" t="s">
        <v>250</v>
      </c>
      <c r="E28" s="376" t="s">
        <v>188</v>
      </c>
      <c r="F28" s="408">
        <f>'Additional control 1'!O$30</f>
        <v>0</v>
      </c>
      <c r="G28" s="408">
        <f>'Additional control 1'!P$30</f>
        <v>0</v>
      </c>
      <c r="H28" s="408">
        <f>'Additional control 1'!Q$30</f>
        <v>0</v>
      </c>
      <c r="I28" s="408">
        <f>'Additional control 1'!R$30</f>
        <v>0</v>
      </c>
      <c r="J28" s="408">
        <f>'Additional control 1'!S$30</f>
        <v>0</v>
      </c>
      <c r="K28" s="433">
        <f>'Additional control 1'!T$30</f>
        <v>0</v>
      </c>
      <c r="L28" s="433">
        <f>'Additional control 1'!U$30</f>
        <v>0</v>
      </c>
      <c r="M28" s="433">
        <f>'Additional control 1'!V$30</f>
        <v>0</v>
      </c>
      <c r="N28" s="433">
        <f>'Additional control 1'!W$30</f>
        <v>0</v>
      </c>
      <c r="O28" s="433">
        <f>'Additional control 1'!X$30</f>
        <v>0</v>
      </c>
    </row>
    <row r="29" spans="2:15" x14ac:dyDescent="0.2">
      <c r="B29" s="452" t="s">
        <v>815</v>
      </c>
      <c r="C29" s="452" t="s">
        <v>816</v>
      </c>
      <c r="D29" s="376" t="s">
        <v>250</v>
      </c>
      <c r="E29" s="376" t="s">
        <v>188</v>
      </c>
      <c r="F29" s="408">
        <f>'Additional control 1'!O$51</f>
        <v>0</v>
      </c>
      <c r="G29" s="408">
        <f>'Additional control 1'!P$51</f>
        <v>0</v>
      </c>
      <c r="H29" s="408">
        <f>'Additional control 1'!Q$51</f>
        <v>0</v>
      </c>
      <c r="I29" s="408">
        <f>'Additional control 1'!R$51</f>
        <v>0</v>
      </c>
      <c r="J29" s="408">
        <f>'Additional control 1'!S$51</f>
        <v>0</v>
      </c>
      <c r="K29" s="433">
        <f>'Additional control 1'!T$51</f>
        <v>0</v>
      </c>
      <c r="L29" s="433">
        <f>'Additional control 1'!U$51</f>
        <v>0</v>
      </c>
      <c r="M29" s="433">
        <f>'Additional control 1'!V$51</f>
        <v>0</v>
      </c>
      <c r="N29" s="433">
        <f>'Additional control 1'!W$51</f>
        <v>0</v>
      </c>
      <c r="O29" s="433">
        <f>'Additional control 1'!X$51</f>
        <v>0</v>
      </c>
    </row>
    <row r="30" spans="2:15" x14ac:dyDescent="0.2">
      <c r="B30" s="452" t="s">
        <v>817</v>
      </c>
      <c r="C30" s="452" t="s">
        <v>818</v>
      </c>
      <c r="D30" s="376" t="s">
        <v>250</v>
      </c>
      <c r="E30" s="376" t="s">
        <v>188</v>
      </c>
      <c r="F30" s="408">
        <f>'Additional control 2'!O$30</f>
        <v>0</v>
      </c>
      <c r="G30" s="408">
        <f>'Additional control 2'!P$30</f>
        <v>0</v>
      </c>
      <c r="H30" s="408">
        <f>'Additional control 2'!Q$30</f>
        <v>0</v>
      </c>
      <c r="I30" s="408">
        <f>'Additional control 2'!R$30</f>
        <v>0</v>
      </c>
      <c r="J30" s="408">
        <f>'Additional control 2'!S$30</f>
        <v>0</v>
      </c>
      <c r="K30" s="433">
        <f>'Additional control 2'!T$30</f>
        <v>0</v>
      </c>
      <c r="L30" s="433">
        <f>'Additional control 2'!U$30</f>
        <v>0</v>
      </c>
      <c r="M30" s="433">
        <f>'Additional control 2'!V$30</f>
        <v>0</v>
      </c>
      <c r="N30" s="433">
        <f>'Additional control 2'!W$30</f>
        <v>0</v>
      </c>
      <c r="O30" s="433">
        <f>'Additional control 2'!X$30</f>
        <v>0</v>
      </c>
    </row>
    <row r="31" spans="2:15" x14ac:dyDescent="0.2">
      <c r="B31" s="452" t="s">
        <v>819</v>
      </c>
      <c r="C31" s="452" t="s">
        <v>820</v>
      </c>
      <c r="D31" s="376" t="s">
        <v>250</v>
      </c>
      <c r="E31" s="376" t="s">
        <v>188</v>
      </c>
      <c r="F31" s="408">
        <f>'Additional control 2'!O$51</f>
        <v>0</v>
      </c>
      <c r="G31" s="408">
        <f>'Additional control 2'!P$51</f>
        <v>0</v>
      </c>
      <c r="H31" s="408">
        <f>'Additional control 2'!Q$51</f>
        <v>0</v>
      </c>
      <c r="I31" s="408">
        <f>'Additional control 2'!R$51</f>
        <v>0</v>
      </c>
      <c r="J31" s="408">
        <f>'Additional control 2'!S$51</f>
        <v>0</v>
      </c>
      <c r="K31" s="433">
        <f>'Additional control 2'!T$51</f>
        <v>0</v>
      </c>
      <c r="L31" s="433">
        <f>'Additional control 2'!U$51</f>
        <v>0</v>
      </c>
      <c r="M31" s="433">
        <f>'Additional control 2'!V$51</f>
        <v>0</v>
      </c>
      <c r="N31" s="433">
        <f>'Additional control 2'!W$51</f>
        <v>0</v>
      </c>
      <c r="O31" s="433">
        <f>'Additional control 2'!X$51</f>
        <v>0</v>
      </c>
    </row>
    <row r="32" spans="2:15" x14ac:dyDescent="0.2">
      <c r="B32" s="376" t="s">
        <v>821</v>
      </c>
      <c r="C32" s="376" t="s">
        <v>822</v>
      </c>
      <c r="D32" s="376" t="s">
        <v>534</v>
      </c>
      <c r="E32" s="376" t="s">
        <v>188</v>
      </c>
      <c r="F32" t="str">
        <f ca="1">CONCATENATE("[…]", TEXT(NOW(),"dd/mm/yyy hh:mm:ss"))</f>
        <v>[…]16/07/2025 13:05:49</v>
      </c>
      <c r="G32" t="str">
        <f t="shared" ref="G32:O32" ca="1" si="0">CONCATENATE("[…]", TEXT(NOW(),"dd/mm/yyy hh:mm:ss"))</f>
        <v>[…]16/07/2025 13:05:49</v>
      </c>
      <c r="H32" t="str">
        <f t="shared" ca="1" si="0"/>
        <v>[…]16/07/2025 13:05:49</v>
      </c>
      <c r="I32" t="str">
        <f t="shared" ca="1" si="0"/>
        <v>[…]16/07/2025 13:05:49</v>
      </c>
      <c r="J32" t="str">
        <f t="shared" ca="1" si="0"/>
        <v>[…]16/07/2025 13:05:49</v>
      </c>
      <c r="K32" s="434" t="str">
        <f t="shared" ca="1" si="0"/>
        <v>[…]16/07/2025 13:05:49</v>
      </c>
      <c r="L32" s="434" t="str">
        <f t="shared" ca="1" si="0"/>
        <v>[…]16/07/2025 13:05:49</v>
      </c>
      <c r="M32" s="434" t="str">
        <f t="shared" ca="1" si="0"/>
        <v>[…]16/07/2025 13:05:49</v>
      </c>
      <c r="N32" s="434" t="str">
        <f t="shared" ca="1" si="0"/>
        <v>[…]16/07/2025 13:05:49</v>
      </c>
      <c r="O32" s="434" t="str">
        <f t="shared" ca="1" si="0"/>
        <v>[…]16/07/2025 13:05:49</v>
      </c>
    </row>
    <row r="33" spans="2:15" x14ac:dyDescent="0.2">
      <c r="B33" s="376" t="s">
        <v>823</v>
      </c>
      <c r="C33" s="376" t="s">
        <v>824</v>
      </c>
      <c r="D33" s="376" t="s">
        <v>534</v>
      </c>
      <c r="E33" s="376" t="s">
        <v>188</v>
      </c>
      <c r="F33" s="376" t="str">
        <f ca="1">MID(CELL("filename",A1),SEARCH("[",CELL("filename",A1))+1,SEARCH("]",CELL("filename",A1))-1-SEARCH("[",CELL("filename",A1)))</f>
        <v>In-period-adjustments-model-for-2024-25_v1.1.xlsx</v>
      </c>
      <c r="G33" s="376" t="str">
        <f t="shared" ref="G33:J33" ca="1" si="1">MID(CELL("filename",B1),SEARCH("[",CELL("filename",B1))+1,SEARCH("]",CELL("filename",B1))-1-SEARCH("[",CELL("filename",B1)))</f>
        <v>In-period-adjustments-model-for-2024-25_v1.1.xlsx</v>
      </c>
      <c r="H33" s="376" t="str">
        <f t="shared" ca="1" si="1"/>
        <v>In-period-adjustments-model-for-2024-25_v1.1.xlsx</v>
      </c>
      <c r="I33" s="376" t="str">
        <f t="shared" ca="1" si="1"/>
        <v>In-period-adjustments-model-for-2024-25_v1.1.xlsx</v>
      </c>
      <c r="J33" s="376" t="str">
        <f t="shared" ca="1" si="1"/>
        <v>In-period-adjustments-model-for-2024-25_v1.1.xlsx</v>
      </c>
      <c r="K33" s="434" t="str">
        <f t="shared" ref="K33" ca="1" si="2">MID(CELL("filename",F1),SEARCH("[",CELL("filename",F1))+1,SEARCH("]",CELL("filename",F1))-1-SEARCH("[",CELL("filename",F1)))</f>
        <v>In-period-adjustments-model-for-2024-25_v1.1.xlsx</v>
      </c>
      <c r="L33" s="434" t="str">
        <f t="shared" ref="L33" ca="1" si="3">MID(CELL("filename",G1),SEARCH("[",CELL("filename",G1))+1,SEARCH("]",CELL("filename",G1))-1-SEARCH("[",CELL("filename",G1)))</f>
        <v>In-period-adjustments-model-for-2024-25_v1.1.xlsx</v>
      </c>
      <c r="M33" s="434" t="str">
        <f t="shared" ref="M33" ca="1" si="4">MID(CELL("filename",H1),SEARCH("[",CELL("filename",H1))+1,SEARCH("]",CELL("filename",H1))-1-SEARCH("[",CELL("filename",H1)))</f>
        <v>In-period-adjustments-model-for-2024-25_v1.1.xlsx</v>
      </c>
      <c r="N33" s="434" t="str">
        <f t="shared" ref="N33" ca="1" si="5">MID(CELL("filename",I1),SEARCH("[",CELL("filename",I1))+1,SEARCH("]",CELL("filename",I1))-1-SEARCH("[",CELL("filename",I1)))</f>
        <v>In-period-adjustments-model-for-2024-25_v1.1.xlsx</v>
      </c>
      <c r="O33" s="434" t="str">
        <f t="shared" ref="O33" ca="1" si="6">MID(CELL("filename",J1),SEARCH("[",CELL("filename",J1))+1,SEARCH("]",CELL("filename",J1))-1-SEARCH("[",CELL("filename",J1)))</f>
        <v>In-period-adjustments-model-for-2024-25_v1.1.xlsx</v>
      </c>
    </row>
  </sheetData>
  <sheetProtection sort="0"/>
  <pageMargins left="0.70866141732283472" right="0.70866141732283472" top="0.74803149606299213" bottom="0.74803149606299213" header="0.31496062992125984" footer="0.31496062992125984"/>
  <pageSetup paperSize="9" scale="66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ABF0E-45BA-418E-8EC4-419238201FBB}">
  <dimension ref="A1:S63"/>
  <sheetViews>
    <sheetView zoomScale="80" zoomScaleNormal="80" workbookViewId="0"/>
  </sheetViews>
  <sheetFormatPr defaultColWidth="9" defaultRowHeight="14.25" x14ac:dyDescent="0.2"/>
  <cols>
    <col min="1" max="1" width="9" style="376"/>
    <col min="2" max="2" width="43.125" style="376" customWidth="1"/>
    <col min="3" max="3" width="115.875" style="376" bestFit="1" customWidth="1"/>
    <col min="4" max="4" width="12.625" style="376" bestFit="1" customWidth="1"/>
    <col min="5" max="5" width="29.375" style="376" bestFit="1" customWidth="1"/>
    <col min="6" max="19" width="15.875" style="376" customWidth="1"/>
    <col min="20" max="16384" width="9" style="376"/>
  </cols>
  <sheetData>
    <row r="1" spans="1:19" x14ac:dyDescent="0.2">
      <c r="C1" s="376" t="s">
        <v>782</v>
      </c>
    </row>
    <row r="2" spans="1:19" x14ac:dyDescent="0.2">
      <c r="A2" s="376" t="s">
        <v>89</v>
      </c>
      <c r="B2" s="376" t="s">
        <v>24</v>
      </c>
      <c r="C2" s="376" t="s">
        <v>185</v>
      </c>
      <c r="D2" s="376" t="s">
        <v>186</v>
      </c>
      <c r="E2" s="376" t="s">
        <v>187</v>
      </c>
      <c r="F2" s="428" t="s">
        <v>825</v>
      </c>
      <c r="G2" s="428" t="s">
        <v>192</v>
      </c>
      <c r="H2" s="428" t="s">
        <v>193</v>
      </c>
      <c r="I2" s="428" t="s">
        <v>194</v>
      </c>
      <c r="J2" s="428" t="s">
        <v>195</v>
      </c>
      <c r="K2" s="428" t="s">
        <v>196</v>
      </c>
      <c r="L2" s="428" t="s">
        <v>197</v>
      </c>
      <c r="M2" s="428" t="s">
        <v>198</v>
      </c>
      <c r="N2" s="428" t="s">
        <v>94</v>
      </c>
      <c r="O2" s="428" t="s">
        <v>199</v>
      </c>
      <c r="P2" s="428" t="s">
        <v>200</v>
      </c>
      <c r="Q2" s="428" t="s">
        <v>201</v>
      </c>
      <c r="R2" s="428" t="s">
        <v>202</v>
      </c>
      <c r="S2" s="428" t="s">
        <v>203</v>
      </c>
    </row>
    <row r="3" spans="1:19" x14ac:dyDescent="0.2"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</row>
    <row r="4" spans="1:19" x14ac:dyDescent="0.2">
      <c r="B4" s="376" t="str">
        <f>InpCompany!A32</f>
        <v>IPD04_CO_IN_51</v>
      </c>
      <c r="C4" s="376" t="str">
        <f>InpCompany!E32</f>
        <v>Other in-period payments - C-MeX (residential retail)</v>
      </c>
      <c r="D4" s="376" t="s">
        <v>250</v>
      </c>
      <c r="E4" s="376" t="s">
        <v>188</v>
      </c>
      <c r="F4" s="429"/>
      <c r="G4" s="429"/>
      <c r="H4" s="429"/>
      <c r="I4" s="429"/>
      <c r="J4" s="429"/>
      <c r="K4" s="429"/>
      <c r="L4" s="429"/>
      <c r="M4" s="429"/>
      <c r="N4" s="411">
        <f>InpCompany!F32</f>
        <v>2.1949999999999998</v>
      </c>
      <c r="O4" s="429"/>
      <c r="P4" s="429"/>
      <c r="Q4" s="429"/>
      <c r="R4" s="429"/>
      <c r="S4" s="429"/>
    </row>
    <row r="5" spans="1:19" x14ac:dyDescent="0.2">
      <c r="B5" s="376" t="str">
        <f>InpCompany!A33</f>
        <v>IPD04_CO_IN_52</v>
      </c>
      <c r="C5" s="376" t="str">
        <f>InpCompany!E33</f>
        <v>Other in-period payments - D-MeX (water network plus)</v>
      </c>
      <c r="D5" s="376" t="s">
        <v>250</v>
      </c>
      <c r="E5" s="376" t="s">
        <v>188</v>
      </c>
      <c r="F5" s="429"/>
      <c r="G5" s="429"/>
      <c r="H5" s="429"/>
      <c r="I5" s="429"/>
      <c r="J5" s="429"/>
      <c r="K5" s="429"/>
      <c r="L5" s="429"/>
      <c r="M5" s="429"/>
      <c r="N5" s="411">
        <f>InpCompany!F33</f>
        <v>2.7355185817744362E-2</v>
      </c>
      <c r="O5" s="429"/>
      <c r="P5" s="429"/>
      <c r="Q5" s="429"/>
      <c r="R5" s="429"/>
      <c r="S5" s="429"/>
    </row>
    <row r="6" spans="1:19" x14ac:dyDescent="0.2">
      <c r="B6" s="376" t="str">
        <f>InpCompany!A35</f>
        <v>IPD04_CO_IN_53</v>
      </c>
      <c r="C6" s="376" t="str">
        <f>InpCompany!E35</f>
        <v>Other in-period payments - D-MeX (wastewater network plus)</v>
      </c>
      <c r="D6" s="376" t="s">
        <v>250</v>
      </c>
      <c r="E6" s="376" t="s">
        <v>188</v>
      </c>
      <c r="F6" s="429"/>
      <c r="G6" s="429"/>
      <c r="H6" s="429"/>
      <c r="I6" s="429"/>
      <c r="J6" s="429"/>
      <c r="K6" s="429"/>
      <c r="L6" s="429"/>
      <c r="M6" s="429"/>
      <c r="N6" s="411">
        <f>InpCompany!F35</f>
        <v>1.5789240504172835E-2</v>
      </c>
      <c r="O6" s="429"/>
      <c r="P6" s="429"/>
      <c r="Q6" s="429"/>
      <c r="R6" s="429"/>
      <c r="S6" s="429"/>
    </row>
    <row r="7" spans="1:19" x14ac:dyDescent="0.2">
      <c r="B7" s="376" t="str">
        <f>InpCompany!A34</f>
        <v>IPD04_CO_IN_54</v>
      </c>
      <c r="C7" s="376" t="str">
        <f>InpCompany!E34</f>
        <v>Other in-period payments - D-MeX (additional control 2)</v>
      </c>
      <c r="D7" s="376" t="s">
        <v>250</v>
      </c>
      <c r="E7" s="376" t="s">
        <v>188</v>
      </c>
      <c r="F7" s="429"/>
      <c r="G7" s="429"/>
      <c r="H7" s="429"/>
      <c r="I7" s="429"/>
      <c r="J7" s="429"/>
      <c r="K7" s="429"/>
      <c r="L7" s="429"/>
      <c r="M7" s="429"/>
      <c r="N7" s="411">
        <f>InpCompany!F34</f>
        <v>0</v>
      </c>
      <c r="O7" s="429"/>
      <c r="P7" s="429"/>
      <c r="Q7" s="429"/>
      <c r="R7" s="429"/>
      <c r="S7" s="429"/>
    </row>
    <row r="8" spans="1:19" x14ac:dyDescent="0.2">
      <c r="B8" s="376" t="str">
        <f>InpCompany!A38</f>
        <v>IPD04_CO_IN_01</v>
      </c>
      <c r="C8" s="376" t="str">
        <f>InpCompany!E38</f>
        <v>ODI payments deferred from previous reconciliation year - water resources</v>
      </c>
      <c r="D8" s="376" t="s">
        <v>250</v>
      </c>
      <c r="E8" s="376" t="s">
        <v>188</v>
      </c>
      <c r="F8" s="429"/>
      <c r="G8" s="429"/>
      <c r="H8" s="429"/>
      <c r="I8" s="429"/>
      <c r="J8" s="429"/>
      <c r="K8" s="429"/>
      <c r="L8" s="429"/>
      <c r="M8" s="429"/>
      <c r="N8" s="411">
        <f>InpCompany!F38</f>
        <v>0</v>
      </c>
      <c r="O8" s="429"/>
      <c r="P8" s="429"/>
      <c r="Q8" s="429"/>
      <c r="R8" s="429"/>
      <c r="S8" s="429"/>
    </row>
    <row r="9" spans="1:19" x14ac:dyDescent="0.2">
      <c r="B9" s="376" t="str">
        <f>InpCompany!A39</f>
        <v>IPD04_CO_IN_02</v>
      </c>
      <c r="C9" s="376" t="str">
        <f>InpCompany!E39</f>
        <v>ODI payments deferred from previous reconciliation year - water network plus</v>
      </c>
      <c r="D9" s="376" t="s">
        <v>250</v>
      </c>
      <c r="E9" s="376" t="s">
        <v>188</v>
      </c>
      <c r="F9" s="429"/>
      <c r="G9" s="429"/>
      <c r="H9" s="429"/>
      <c r="I9" s="429"/>
      <c r="J9" s="429"/>
      <c r="K9" s="429"/>
      <c r="L9" s="429"/>
      <c r="M9" s="429"/>
      <c r="N9" s="411">
        <f>InpCompany!F39</f>
        <v>0</v>
      </c>
      <c r="O9" s="429"/>
      <c r="P9" s="429"/>
      <c r="Q9" s="429"/>
      <c r="R9" s="429"/>
      <c r="S9" s="429"/>
    </row>
    <row r="10" spans="1:19" x14ac:dyDescent="0.2">
      <c r="B10" s="376" t="str">
        <f>InpCompany!A40</f>
        <v>IPD04_CO_IN_03</v>
      </c>
      <c r="C10" s="376" t="str">
        <f>InpCompany!E40</f>
        <v>ODI payments deferred from previous reconciliation year - wastewater network plus</v>
      </c>
      <c r="D10" s="376" t="s">
        <v>250</v>
      </c>
      <c r="E10" s="376" t="s">
        <v>188</v>
      </c>
      <c r="F10" s="429"/>
      <c r="G10" s="429"/>
      <c r="H10" s="429"/>
      <c r="I10" s="429"/>
      <c r="J10" s="429"/>
      <c r="K10" s="429"/>
      <c r="L10" s="429"/>
      <c r="M10" s="429"/>
      <c r="N10" s="411">
        <f>InpCompany!F40</f>
        <v>0</v>
      </c>
      <c r="O10" s="429"/>
      <c r="P10" s="429"/>
      <c r="Q10" s="429"/>
      <c r="R10" s="429"/>
      <c r="S10" s="429"/>
    </row>
    <row r="11" spans="1:19" x14ac:dyDescent="0.2">
      <c r="B11" s="376" t="str">
        <f>InpCompany!A41</f>
        <v>IPD04_CO_IN_04</v>
      </c>
      <c r="C11" s="376" t="str">
        <f>InpCompany!E41</f>
        <v>ODI payments deferred from previous reconciliation year - bioresources (sludge)</v>
      </c>
      <c r="D11" s="376" t="s">
        <v>250</v>
      </c>
      <c r="E11" s="376" t="s">
        <v>188</v>
      </c>
      <c r="F11" s="429"/>
      <c r="G11" s="429"/>
      <c r="H11" s="429"/>
      <c r="I11" s="429"/>
      <c r="J11" s="429"/>
      <c r="K11" s="429"/>
      <c r="L11" s="429"/>
      <c r="M11" s="429"/>
      <c r="N11" s="411">
        <f>InpCompany!F41</f>
        <v>0</v>
      </c>
      <c r="O11" s="429"/>
      <c r="P11" s="429"/>
      <c r="Q11" s="429"/>
      <c r="R11" s="429"/>
      <c r="S11" s="429"/>
    </row>
    <row r="12" spans="1:19" x14ac:dyDescent="0.2">
      <c r="B12" s="376" t="str">
        <f>InpCompany!A42</f>
        <v>IPD04_CO_IN_05</v>
      </c>
      <c r="C12" s="376" t="str">
        <f>InpCompany!E42</f>
        <v>ODI payments deferred from previous reconciliation year - residential retail</v>
      </c>
      <c r="D12" s="376" t="s">
        <v>250</v>
      </c>
      <c r="E12" s="376" t="s">
        <v>188</v>
      </c>
      <c r="F12" s="429"/>
      <c r="G12" s="429"/>
      <c r="H12" s="429"/>
      <c r="I12" s="429"/>
      <c r="J12" s="429"/>
      <c r="K12" s="429"/>
      <c r="L12" s="429"/>
      <c r="M12" s="429"/>
      <c r="N12" s="411">
        <f>InpCompany!F42</f>
        <v>0</v>
      </c>
      <c r="O12" s="429"/>
      <c r="P12" s="429"/>
      <c r="Q12" s="429"/>
      <c r="R12" s="429"/>
      <c r="S12" s="429"/>
    </row>
    <row r="13" spans="1:19" x14ac:dyDescent="0.2">
      <c r="B13" s="376" t="str">
        <f>InpCompany!A43</f>
        <v>IPD04_CO_IN_06</v>
      </c>
      <c r="C13" s="376" t="str">
        <f>InpCompany!E43</f>
        <v>ODI payments deferred from previous reconciliation year - business retail</v>
      </c>
      <c r="D13" s="376" t="s">
        <v>250</v>
      </c>
      <c r="E13" s="376" t="s">
        <v>188</v>
      </c>
      <c r="F13" s="429"/>
      <c r="G13" s="429"/>
      <c r="H13" s="429"/>
      <c r="I13" s="429"/>
      <c r="J13" s="429"/>
      <c r="K13" s="429"/>
      <c r="L13" s="429"/>
      <c r="M13" s="429"/>
      <c r="N13" s="411">
        <f>InpCompany!F43</f>
        <v>0</v>
      </c>
      <c r="O13" s="429"/>
      <c r="P13" s="429"/>
      <c r="Q13" s="429"/>
      <c r="R13" s="429"/>
      <c r="S13" s="429"/>
    </row>
    <row r="14" spans="1:19" x14ac:dyDescent="0.2">
      <c r="B14" s="376" t="str">
        <f>InpCompany!A44</f>
        <v>IPD04_CO_IN_07</v>
      </c>
      <c r="C14" s="376" t="str">
        <f>InpCompany!E44</f>
        <v>ODI payments deferred from previous reconciliation year - additional control 1</v>
      </c>
      <c r="D14" s="376" t="s">
        <v>250</v>
      </c>
      <c r="E14" s="376" t="s">
        <v>188</v>
      </c>
      <c r="F14" s="429"/>
      <c r="G14" s="429"/>
      <c r="H14" s="429"/>
      <c r="I14" s="429"/>
      <c r="J14" s="429"/>
      <c r="K14" s="429"/>
      <c r="L14" s="429"/>
      <c r="M14" s="429"/>
      <c r="N14" s="411">
        <f>InpCompany!F44</f>
        <v>0</v>
      </c>
      <c r="O14" s="429"/>
      <c r="P14" s="429"/>
      <c r="Q14" s="429"/>
      <c r="R14" s="429"/>
      <c r="S14" s="429"/>
    </row>
    <row r="15" spans="1:19" x14ac:dyDescent="0.2">
      <c r="B15" s="376" t="str">
        <f>InpCompany!A45</f>
        <v>IPD04_CO_IN_07a</v>
      </c>
      <c r="C15" s="376" t="str">
        <f>InpCompany!E45</f>
        <v>ODI payments deferred from previous reconciliation year - additional control 2</v>
      </c>
      <c r="D15" s="376" t="s">
        <v>250</v>
      </c>
      <c r="E15" s="376" t="s">
        <v>188</v>
      </c>
      <c r="F15" s="429"/>
      <c r="G15" s="429"/>
      <c r="H15" s="429"/>
      <c r="I15" s="429"/>
      <c r="J15" s="429"/>
      <c r="K15" s="429"/>
      <c r="L15" s="429"/>
      <c r="M15" s="429"/>
      <c r="N15" s="411">
        <f>InpCompany!F45</f>
        <v>0</v>
      </c>
      <c r="O15" s="429"/>
      <c r="P15" s="429"/>
      <c r="Q15" s="429"/>
      <c r="R15" s="429"/>
      <c r="S15" s="429"/>
    </row>
    <row r="16" spans="1:19" x14ac:dyDescent="0.2">
      <c r="B16" s="376" t="str">
        <f>InpCompany!A51</f>
        <v>IPD04_CO_IN_11</v>
      </c>
      <c r="C16" s="376" t="str">
        <f>InpCompany!E51</f>
        <v>Voluntary abatements - water resources</v>
      </c>
      <c r="D16" s="376" t="s">
        <v>250</v>
      </c>
      <c r="E16" s="376" t="s">
        <v>188</v>
      </c>
      <c r="F16" s="429"/>
      <c r="G16" s="429"/>
      <c r="H16" s="429"/>
      <c r="I16" s="429"/>
      <c r="J16" s="429"/>
      <c r="K16" s="429"/>
      <c r="L16" s="429"/>
      <c r="M16" s="429"/>
      <c r="N16" s="411">
        <f>InpCompany!F51</f>
        <v>0</v>
      </c>
      <c r="O16" s="429"/>
      <c r="P16" s="429"/>
      <c r="Q16" s="429"/>
      <c r="R16" s="429"/>
      <c r="S16" s="429"/>
    </row>
    <row r="17" spans="2:19" x14ac:dyDescent="0.2">
      <c r="B17" s="376" t="str">
        <f>InpCompany!A52</f>
        <v>IPD04_CO_IN_12</v>
      </c>
      <c r="C17" s="376" t="str">
        <f>InpCompany!E52</f>
        <v>Voluntary abatements - water network plus</v>
      </c>
      <c r="D17" s="376" t="s">
        <v>250</v>
      </c>
      <c r="E17" s="376" t="s">
        <v>188</v>
      </c>
      <c r="F17" s="429"/>
      <c r="G17" s="429"/>
      <c r="H17" s="429"/>
      <c r="I17" s="429"/>
      <c r="J17" s="429"/>
      <c r="K17" s="429"/>
      <c r="L17" s="429"/>
      <c r="M17" s="429"/>
      <c r="N17" s="411">
        <f>InpCompany!F52</f>
        <v>0</v>
      </c>
      <c r="O17" s="429"/>
      <c r="P17" s="429"/>
      <c r="Q17" s="429"/>
      <c r="R17" s="429"/>
      <c r="S17" s="429"/>
    </row>
    <row r="18" spans="2:19" x14ac:dyDescent="0.2">
      <c r="B18" s="376" t="str">
        <f>InpCompany!A53</f>
        <v>IPD04_CO_IN_13</v>
      </c>
      <c r="C18" s="376" t="str">
        <f>InpCompany!E53</f>
        <v>Voluntary abatements - wastewater network plus</v>
      </c>
      <c r="D18" s="376" t="s">
        <v>250</v>
      </c>
      <c r="E18" s="376" t="s">
        <v>188</v>
      </c>
      <c r="F18" s="429"/>
      <c r="G18" s="429"/>
      <c r="H18" s="429"/>
      <c r="I18" s="429"/>
      <c r="J18" s="429"/>
      <c r="K18" s="429"/>
      <c r="L18" s="429"/>
      <c r="M18" s="429"/>
      <c r="N18" s="411">
        <f>InpCompany!F53</f>
        <v>0</v>
      </c>
      <c r="O18" s="429"/>
      <c r="P18" s="429"/>
      <c r="Q18" s="429"/>
      <c r="R18" s="429"/>
      <c r="S18" s="429"/>
    </row>
    <row r="19" spans="2:19" x14ac:dyDescent="0.2">
      <c r="B19" s="376" t="str">
        <f>InpCompany!A54</f>
        <v>IPD04_CO_IN_14</v>
      </c>
      <c r="C19" s="376" t="str">
        <f>InpCompany!E54</f>
        <v>Voluntary abatements - bioresources (sludge)</v>
      </c>
      <c r="D19" s="376" t="s">
        <v>250</v>
      </c>
      <c r="E19" s="376" t="s">
        <v>188</v>
      </c>
      <c r="F19" s="429"/>
      <c r="G19" s="429"/>
      <c r="H19" s="429"/>
      <c r="I19" s="429"/>
      <c r="J19" s="429"/>
      <c r="K19" s="429"/>
      <c r="L19" s="429"/>
      <c r="M19" s="429"/>
      <c r="N19" s="411">
        <f>InpCompany!F54</f>
        <v>0</v>
      </c>
      <c r="O19" s="429"/>
      <c r="P19" s="429"/>
      <c r="Q19" s="429"/>
      <c r="R19" s="429"/>
      <c r="S19" s="429"/>
    </row>
    <row r="20" spans="2:19" x14ac:dyDescent="0.2">
      <c r="B20" s="376" t="str">
        <f>InpCompany!A55</f>
        <v>IPD04_CO_IN_15</v>
      </c>
      <c r="C20" s="376" t="str">
        <f>InpCompany!E55</f>
        <v>Voluntary abatements - residential retail</v>
      </c>
      <c r="D20" s="376" t="s">
        <v>250</v>
      </c>
      <c r="E20" s="376" t="s">
        <v>188</v>
      </c>
      <c r="F20" s="429"/>
      <c r="G20" s="429"/>
      <c r="H20" s="429"/>
      <c r="I20" s="429"/>
      <c r="J20" s="429"/>
      <c r="K20" s="429"/>
      <c r="L20" s="429"/>
      <c r="M20" s="429"/>
      <c r="N20" s="411">
        <f>InpCompany!F55</f>
        <v>0</v>
      </c>
      <c r="O20" s="429"/>
      <c r="P20" s="429"/>
      <c r="Q20" s="429"/>
      <c r="R20" s="429"/>
      <c r="S20" s="429"/>
    </row>
    <row r="21" spans="2:19" x14ac:dyDescent="0.2">
      <c r="B21" s="376" t="str">
        <f>InpCompany!A56</f>
        <v>IPD04_CO_IN_16</v>
      </c>
      <c r="C21" s="376" t="str">
        <f>InpCompany!E56</f>
        <v>Voluntary abatements - business retail</v>
      </c>
      <c r="D21" s="376" t="s">
        <v>250</v>
      </c>
      <c r="E21" s="376" t="s">
        <v>188</v>
      </c>
      <c r="F21" s="429"/>
      <c r="G21" s="429"/>
      <c r="H21" s="429"/>
      <c r="I21" s="429"/>
      <c r="J21" s="429"/>
      <c r="K21" s="429"/>
      <c r="L21" s="429"/>
      <c r="M21" s="429"/>
      <c r="N21" s="411">
        <f>InpCompany!F56</f>
        <v>0</v>
      </c>
      <c r="O21" s="429"/>
      <c r="P21" s="429"/>
      <c r="Q21" s="429"/>
      <c r="R21" s="429"/>
      <c r="S21" s="429"/>
    </row>
    <row r="22" spans="2:19" x14ac:dyDescent="0.2">
      <c r="B22" s="376" t="str">
        <f>InpCompany!A57</f>
        <v>IPD04_CO_IN_17</v>
      </c>
      <c r="C22" s="376" t="str">
        <f>InpCompany!E57</f>
        <v>Voluntary abatements - additional control 1</v>
      </c>
      <c r="D22" s="376" t="s">
        <v>250</v>
      </c>
      <c r="E22" s="376" t="s">
        <v>188</v>
      </c>
      <c r="F22" s="429"/>
      <c r="G22" s="429"/>
      <c r="H22" s="429"/>
      <c r="I22" s="429"/>
      <c r="J22" s="429"/>
      <c r="K22" s="429"/>
      <c r="L22" s="429"/>
      <c r="M22" s="429"/>
      <c r="N22" s="411">
        <f>InpCompany!F57</f>
        <v>0</v>
      </c>
      <c r="O22" s="429"/>
      <c r="P22" s="429"/>
      <c r="Q22" s="429"/>
      <c r="R22" s="429"/>
      <c r="S22" s="429"/>
    </row>
    <row r="23" spans="2:19" x14ac:dyDescent="0.2">
      <c r="B23" s="376" t="str">
        <f>InpCompany!A58</f>
        <v>IPD04_CO_IN_17a</v>
      </c>
      <c r="C23" s="376" t="str">
        <f>InpCompany!E58</f>
        <v>Voluntary abatements - additional control 2</v>
      </c>
      <c r="D23" s="376" t="s">
        <v>250</v>
      </c>
      <c r="E23" s="376" t="s">
        <v>188</v>
      </c>
      <c r="F23" s="429"/>
      <c r="G23" s="429"/>
      <c r="H23" s="429"/>
      <c r="I23" s="429"/>
      <c r="J23" s="429"/>
      <c r="K23" s="429"/>
      <c r="L23" s="429"/>
      <c r="M23" s="429"/>
      <c r="N23" s="411">
        <f>InpCompany!F58</f>
        <v>0</v>
      </c>
      <c r="O23" s="429"/>
      <c r="P23" s="429"/>
      <c r="Q23" s="429"/>
      <c r="R23" s="429"/>
      <c r="S23" s="429"/>
    </row>
    <row r="24" spans="2:19" x14ac:dyDescent="0.2">
      <c r="B24" s="376" t="str">
        <f>InpCompany!A61</f>
        <v>IPD04_CO_IN_21</v>
      </c>
      <c r="C24" s="376" t="str">
        <f>InpCompany!E61</f>
        <v>Voluntary deferrals - water resources</v>
      </c>
      <c r="D24" s="376" t="s">
        <v>250</v>
      </c>
      <c r="E24" s="376" t="s">
        <v>188</v>
      </c>
      <c r="F24" s="429"/>
      <c r="G24" s="429"/>
      <c r="H24" s="429"/>
      <c r="I24" s="429"/>
      <c r="J24" s="429"/>
      <c r="K24" s="429"/>
      <c r="L24" s="429"/>
      <c r="M24" s="429"/>
      <c r="N24" s="411">
        <f>InpCompany!F61</f>
        <v>0</v>
      </c>
      <c r="O24" s="429"/>
      <c r="P24" s="429"/>
      <c r="Q24" s="429"/>
      <c r="R24" s="429"/>
      <c r="S24" s="429"/>
    </row>
    <row r="25" spans="2:19" x14ac:dyDescent="0.2">
      <c r="B25" s="376" t="str">
        <f>InpCompany!A62</f>
        <v>IPD04_CO_IN_22</v>
      </c>
      <c r="C25" s="376" t="str">
        <f>InpCompany!E62</f>
        <v>Voluntary deferrals - water network plus</v>
      </c>
      <c r="D25" s="376" t="s">
        <v>250</v>
      </c>
      <c r="E25" s="376" t="s">
        <v>188</v>
      </c>
      <c r="F25" s="429"/>
      <c r="G25" s="429"/>
      <c r="H25" s="429"/>
      <c r="I25" s="429"/>
      <c r="J25" s="429"/>
      <c r="K25" s="429"/>
      <c r="L25" s="429"/>
      <c r="M25" s="429"/>
      <c r="N25" s="411">
        <f>InpCompany!F62</f>
        <v>0</v>
      </c>
      <c r="O25" s="429"/>
      <c r="P25" s="429"/>
      <c r="Q25" s="429"/>
      <c r="R25" s="429"/>
      <c r="S25" s="429"/>
    </row>
    <row r="26" spans="2:19" x14ac:dyDescent="0.2">
      <c r="B26" s="376" t="str">
        <f>InpCompany!A63</f>
        <v>IPD04_CO_IN_23</v>
      </c>
      <c r="C26" s="376" t="str">
        <f>InpCompany!E63</f>
        <v>Voluntary deferrals - wastewater network plus</v>
      </c>
      <c r="D26" s="376" t="s">
        <v>250</v>
      </c>
      <c r="E26" s="376" t="s">
        <v>188</v>
      </c>
      <c r="F26" s="429"/>
      <c r="G26" s="429"/>
      <c r="H26" s="429"/>
      <c r="I26" s="429"/>
      <c r="J26" s="429"/>
      <c r="K26" s="429"/>
      <c r="L26" s="429"/>
      <c r="M26" s="429"/>
      <c r="N26" s="411">
        <f>InpCompany!F63</f>
        <v>0</v>
      </c>
      <c r="O26" s="429"/>
      <c r="P26" s="429"/>
      <c r="Q26" s="429"/>
      <c r="R26" s="429"/>
      <c r="S26" s="429"/>
    </row>
    <row r="27" spans="2:19" x14ac:dyDescent="0.2">
      <c r="B27" s="376" t="str">
        <f>InpCompany!A64</f>
        <v>IPD04_CO_IN_24</v>
      </c>
      <c r="C27" s="376" t="str">
        <f>InpCompany!E64</f>
        <v>Voluntary deferrals - bioresources (sludge)</v>
      </c>
      <c r="D27" s="376" t="s">
        <v>250</v>
      </c>
      <c r="E27" s="376" t="s">
        <v>188</v>
      </c>
      <c r="F27" s="429"/>
      <c r="G27" s="429"/>
      <c r="H27" s="429"/>
      <c r="I27" s="429"/>
      <c r="J27" s="429"/>
      <c r="K27" s="429"/>
      <c r="L27" s="429"/>
      <c r="M27" s="429"/>
      <c r="N27" s="411">
        <f>InpCompany!F64</f>
        <v>0</v>
      </c>
      <c r="O27" s="429"/>
      <c r="P27" s="429"/>
      <c r="Q27" s="429"/>
      <c r="R27" s="429"/>
      <c r="S27" s="429"/>
    </row>
    <row r="28" spans="2:19" x14ac:dyDescent="0.2">
      <c r="B28" s="376" t="str">
        <f>InpCompany!A65</f>
        <v>IPD04_CO_IN_25</v>
      </c>
      <c r="C28" s="376" t="str">
        <f>InpCompany!E65</f>
        <v>Voluntary deferrals - residential retail</v>
      </c>
      <c r="D28" s="376" t="s">
        <v>250</v>
      </c>
      <c r="E28" s="376" t="s">
        <v>188</v>
      </c>
      <c r="F28" s="429"/>
      <c r="G28" s="429"/>
      <c r="H28" s="429"/>
      <c r="I28" s="429"/>
      <c r="J28" s="429"/>
      <c r="K28" s="429"/>
      <c r="L28" s="429"/>
      <c r="M28" s="429"/>
      <c r="N28" s="411">
        <f>InpCompany!F65</f>
        <v>0</v>
      </c>
      <c r="O28" s="429"/>
      <c r="P28" s="429"/>
      <c r="Q28" s="429"/>
      <c r="R28" s="429"/>
      <c r="S28" s="429"/>
    </row>
    <row r="29" spans="2:19" x14ac:dyDescent="0.2">
      <c r="B29" s="376" t="str">
        <f>InpCompany!A66</f>
        <v>IPD04_CO_IN_26</v>
      </c>
      <c r="C29" s="376" t="str">
        <f>InpCompany!E66</f>
        <v>Voluntary deferrals - business retail</v>
      </c>
      <c r="D29" s="376" t="s">
        <v>250</v>
      </c>
      <c r="E29" s="376" t="s">
        <v>188</v>
      </c>
      <c r="F29" s="429"/>
      <c r="G29" s="429"/>
      <c r="H29" s="429"/>
      <c r="I29" s="429"/>
      <c r="J29" s="429"/>
      <c r="K29" s="429"/>
      <c r="L29" s="429"/>
      <c r="M29" s="429"/>
      <c r="N29" s="411">
        <f>InpCompany!F66</f>
        <v>0</v>
      </c>
      <c r="O29" s="429"/>
      <c r="P29" s="429"/>
      <c r="Q29" s="429"/>
      <c r="R29" s="429"/>
      <c r="S29" s="429"/>
    </row>
    <row r="30" spans="2:19" x14ac:dyDescent="0.2">
      <c r="B30" s="376" t="str">
        <f>InpCompany!A67</f>
        <v>IPD04_CO_IN_27</v>
      </c>
      <c r="C30" s="376" t="str">
        <f>InpCompany!E67</f>
        <v>Voluntary deferrals - additional control 1</v>
      </c>
      <c r="D30" s="376" t="s">
        <v>250</v>
      </c>
      <c r="E30" s="376" t="s">
        <v>188</v>
      </c>
      <c r="F30" s="429"/>
      <c r="G30" s="429"/>
      <c r="H30" s="429"/>
      <c r="I30" s="429"/>
      <c r="J30" s="429"/>
      <c r="K30" s="429"/>
      <c r="L30" s="429"/>
      <c r="M30" s="429"/>
      <c r="N30" s="411">
        <f>InpCompany!F67</f>
        <v>0</v>
      </c>
      <c r="O30" s="429"/>
      <c r="P30" s="429"/>
      <c r="Q30" s="429"/>
      <c r="R30" s="429"/>
      <c r="S30" s="429"/>
    </row>
    <row r="31" spans="2:19" x14ac:dyDescent="0.2">
      <c r="B31" s="376" t="str">
        <f>InpCompany!A68</f>
        <v>IPD04_CO_IN_27a</v>
      </c>
      <c r="C31" s="376" t="str">
        <f>InpCompany!E68</f>
        <v>Voluntary deferrals - additional control 2</v>
      </c>
      <c r="D31" s="376" t="s">
        <v>250</v>
      </c>
      <c r="E31" s="376" t="s">
        <v>188</v>
      </c>
      <c r="F31" s="429"/>
      <c r="G31" s="429"/>
      <c r="H31" s="429"/>
      <c r="I31" s="429"/>
      <c r="J31" s="429"/>
      <c r="K31" s="429"/>
      <c r="L31" s="429"/>
      <c r="M31" s="429"/>
      <c r="N31" s="411">
        <f>InpCompany!F68</f>
        <v>0</v>
      </c>
      <c r="O31" s="429"/>
      <c r="P31" s="429"/>
      <c r="Q31" s="429"/>
      <c r="R31" s="429"/>
      <c r="S31" s="429"/>
    </row>
    <row r="32" spans="2:19" x14ac:dyDescent="0.2">
      <c r="B32" s="376" t="str">
        <f>InpCompany!A73</f>
        <v>IPD04_CO_IN_31</v>
      </c>
      <c r="C32" s="376" t="str">
        <f>InpCompany!E73</f>
        <v>Other bespoke adjustments - water resources</v>
      </c>
      <c r="D32" s="376" t="s">
        <v>250</v>
      </c>
      <c r="E32" s="376" t="s">
        <v>188</v>
      </c>
      <c r="F32" s="429"/>
      <c r="G32" s="429"/>
      <c r="H32" s="429"/>
      <c r="I32" s="429"/>
      <c r="J32" s="429"/>
      <c r="K32" s="429"/>
      <c r="L32" s="429"/>
      <c r="M32" s="429"/>
      <c r="N32" s="411">
        <f>InpCompany!F73</f>
        <v>0</v>
      </c>
      <c r="O32" s="429"/>
      <c r="P32" s="429"/>
      <c r="Q32" s="429"/>
      <c r="R32" s="429"/>
      <c r="S32" s="429"/>
    </row>
    <row r="33" spans="2:19" x14ac:dyDescent="0.2">
      <c r="B33" s="376" t="str">
        <f>InpCompany!A74</f>
        <v>IPD04_CO_IN_32</v>
      </c>
      <c r="C33" s="376" t="str">
        <f>InpCompany!E74</f>
        <v>Other bespoke adjustments - water network plus</v>
      </c>
      <c r="D33" s="376" t="s">
        <v>250</v>
      </c>
      <c r="E33" s="376" t="s">
        <v>188</v>
      </c>
      <c r="F33" s="429"/>
      <c r="G33" s="429"/>
      <c r="H33" s="429"/>
      <c r="I33" s="429"/>
      <c r="J33" s="429"/>
      <c r="K33" s="429"/>
      <c r="L33" s="429"/>
      <c r="M33" s="429"/>
      <c r="N33" s="411">
        <f>InpCompany!F74</f>
        <v>0</v>
      </c>
      <c r="O33" s="429"/>
      <c r="P33" s="429"/>
      <c r="Q33" s="429"/>
      <c r="R33" s="429"/>
      <c r="S33" s="429"/>
    </row>
    <row r="34" spans="2:19" x14ac:dyDescent="0.2">
      <c r="B34" s="376" t="str">
        <f>InpCompany!A75</f>
        <v>IPD04_CO_IN_33</v>
      </c>
      <c r="C34" s="376" t="str">
        <f>InpCompany!E75</f>
        <v>Other bespoke adjustments - wastewater network plus</v>
      </c>
      <c r="D34" s="376" t="s">
        <v>250</v>
      </c>
      <c r="E34" s="376" t="s">
        <v>188</v>
      </c>
      <c r="F34" s="429"/>
      <c r="G34" s="429"/>
      <c r="H34" s="429"/>
      <c r="I34" s="429"/>
      <c r="J34" s="429"/>
      <c r="K34" s="429"/>
      <c r="L34" s="429"/>
      <c r="M34" s="429"/>
      <c r="N34" s="411">
        <f>InpCompany!F75</f>
        <v>0</v>
      </c>
      <c r="O34" s="429"/>
      <c r="P34" s="429"/>
      <c r="Q34" s="429"/>
      <c r="R34" s="429"/>
      <c r="S34" s="429"/>
    </row>
    <row r="35" spans="2:19" x14ac:dyDescent="0.2">
      <c r="B35" s="376" t="str">
        <f>InpCompany!A76</f>
        <v>IPD04_CO_IN_34</v>
      </c>
      <c r="C35" s="376" t="str">
        <f>InpCompany!E76</f>
        <v>Other bespoke adjustments - bioresources (sludge)</v>
      </c>
      <c r="D35" s="376" t="s">
        <v>250</v>
      </c>
      <c r="E35" s="376" t="s">
        <v>188</v>
      </c>
      <c r="F35" s="429"/>
      <c r="G35" s="429"/>
      <c r="H35" s="429"/>
      <c r="I35" s="429"/>
      <c r="J35" s="429"/>
      <c r="K35" s="429"/>
      <c r="L35" s="429"/>
      <c r="M35" s="429"/>
      <c r="N35" s="411">
        <f>InpCompany!F76</f>
        <v>0</v>
      </c>
      <c r="O35" s="429"/>
      <c r="P35" s="429"/>
      <c r="Q35" s="429"/>
      <c r="R35" s="429"/>
      <c r="S35" s="429"/>
    </row>
    <row r="36" spans="2:19" x14ac:dyDescent="0.2">
      <c r="B36" s="376" t="str">
        <f>InpCompany!A77</f>
        <v>IPD04_CO_IN_35</v>
      </c>
      <c r="C36" s="376" t="str">
        <f>InpCompany!E77</f>
        <v>Other bespoke adjustments - residential retail</v>
      </c>
      <c r="D36" s="376" t="s">
        <v>250</v>
      </c>
      <c r="E36" s="376" t="s">
        <v>188</v>
      </c>
      <c r="F36" s="429"/>
      <c r="G36" s="429"/>
      <c r="H36" s="429"/>
      <c r="I36" s="429"/>
      <c r="J36" s="429"/>
      <c r="K36" s="429"/>
      <c r="L36" s="429"/>
      <c r="M36" s="429"/>
      <c r="N36" s="411">
        <f>InpCompany!F77</f>
        <v>0</v>
      </c>
      <c r="O36" s="429"/>
      <c r="P36" s="429"/>
      <c r="Q36" s="429"/>
      <c r="R36" s="429"/>
      <c r="S36" s="429"/>
    </row>
    <row r="37" spans="2:19" x14ac:dyDescent="0.2">
      <c r="B37" s="376" t="str">
        <f>InpCompany!A78</f>
        <v>IPD04_CO_IN_36</v>
      </c>
      <c r="C37" s="376" t="str">
        <f>InpCompany!E78</f>
        <v>Other bespoke adjustments - business retail</v>
      </c>
      <c r="D37" s="376" t="s">
        <v>250</v>
      </c>
      <c r="E37" s="376" t="s">
        <v>188</v>
      </c>
      <c r="F37" s="429"/>
      <c r="G37" s="429"/>
      <c r="H37" s="429"/>
      <c r="I37" s="429"/>
      <c r="J37" s="429"/>
      <c r="K37" s="429"/>
      <c r="L37" s="429"/>
      <c r="M37" s="429"/>
      <c r="N37" s="411">
        <f>InpCompany!F78</f>
        <v>0</v>
      </c>
      <c r="O37" s="429"/>
      <c r="P37" s="429"/>
      <c r="Q37" s="429"/>
      <c r="R37" s="429"/>
      <c r="S37" s="429"/>
    </row>
    <row r="38" spans="2:19" x14ac:dyDescent="0.2">
      <c r="B38" s="376" t="str">
        <f>InpCompany!A79</f>
        <v>IPD04_CO_IN_37</v>
      </c>
      <c r="C38" s="376" t="str">
        <f>InpCompany!E79</f>
        <v>Other bespoke adjustments - additional control 1</v>
      </c>
      <c r="D38" s="376" t="s">
        <v>250</v>
      </c>
      <c r="E38" s="376" t="s">
        <v>188</v>
      </c>
      <c r="F38" s="429"/>
      <c r="G38" s="429"/>
      <c r="H38" s="429"/>
      <c r="I38" s="429"/>
      <c r="J38" s="429"/>
      <c r="K38" s="429"/>
      <c r="L38" s="429"/>
      <c r="M38" s="429"/>
      <c r="N38" s="411">
        <f>InpCompany!F79</f>
        <v>0</v>
      </c>
      <c r="O38" s="429"/>
      <c r="P38" s="429"/>
      <c r="Q38" s="429"/>
      <c r="R38" s="429"/>
      <c r="S38" s="429"/>
    </row>
    <row r="39" spans="2:19" x14ac:dyDescent="0.2">
      <c r="B39" s="376" t="str">
        <f>InpCompany!A80</f>
        <v>IPD04_CO_IN_37a</v>
      </c>
      <c r="C39" s="376" t="str">
        <f>InpCompany!E80</f>
        <v>Other bespoke adjustments - additional control 2</v>
      </c>
      <c r="D39" s="376" t="s">
        <v>250</v>
      </c>
      <c r="E39" s="376" t="s">
        <v>188</v>
      </c>
      <c r="F39" s="429"/>
      <c r="G39" s="429"/>
      <c r="H39" s="429"/>
      <c r="I39" s="429"/>
      <c r="J39" s="429"/>
      <c r="K39" s="429"/>
      <c r="L39" s="429"/>
      <c r="M39" s="429"/>
      <c r="N39" s="411">
        <f>InpCompany!F80</f>
        <v>0</v>
      </c>
      <c r="O39" s="429"/>
      <c r="P39" s="429"/>
      <c r="Q39" s="429"/>
      <c r="R39" s="429"/>
      <c r="S39" s="429"/>
    </row>
    <row r="40" spans="2:19" x14ac:dyDescent="0.2">
      <c r="B40" s="376" t="str">
        <f>InpCompany!A86</f>
        <v>IPD04_CO_IN_61</v>
      </c>
      <c r="C40" s="376" t="str">
        <f>InpCompany!E86</f>
        <v>Discount rate (wholesale allowed return on capital - real CPIH)</v>
      </c>
      <c r="D40" s="376" t="s">
        <v>233</v>
      </c>
      <c r="E40" s="376" t="s">
        <v>188</v>
      </c>
      <c r="F40" s="429"/>
      <c r="G40" s="429"/>
      <c r="H40" s="429"/>
      <c r="I40" s="429"/>
      <c r="J40" s="429"/>
      <c r="K40" s="429"/>
      <c r="L40" s="429"/>
      <c r="M40" s="429"/>
      <c r="N40" s="430">
        <f>InpCompany!F86</f>
        <v>3.1199999999999999E-2</v>
      </c>
      <c r="O40" s="429"/>
      <c r="P40" s="429"/>
      <c r="Q40" s="429"/>
      <c r="R40" s="429"/>
      <c r="S40" s="429"/>
    </row>
    <row r="41" spans="2:19" x14ac:dyDescent="0.2">
      <c r="B41" s="376" t="str">
        <f>InpCompany!A87</f>
        <v>IPD04_CO_IN_62</v>
      </c>
      <c r="C41" s="376" t="str">
        <f>InpCompany!E87</f>
        <v>Discount rate (appointee allowed return on capital - real CPIH)</v>
      </c>
      <c r="D41" s="376" t="s">
        <v>233</v>
      </c>
      <c r="E41" s="376" t="s">
        <v>188</v>
      </c>
      <c r="F41" s="429"/>
      <c r="G41" s="429"/>
      <c r="H41" s="429"/>
      <c r="I41" s="429"/>
      <c r="J41" s="429"/>
      <c r="K41" s="429"/>
      <c r="L41" s="429"/>
      <c r="M41" s="429"/>
      <c r="N41" s="430">
        <f>InpCompany!F87</f>
        <v>3.2000000000000001E-2</v>
      </c>
      <c r="O41" s="429"/>
      <c r="P41" s="429"/>
      <c r="Q41" s="429"/>
      <c r="R41" s="429"/>
      <c r="S41" s="429"/>
    </row>
    <row r="42" spans="2:19" x14ac:dyDescent="0.2">
      <c r="B42" s="376" t="str">
        <f>InpCompany!A88</f>
        <v>IPD04_CO_IN_63</v>
      </c>
      <c r="C42" s="376" t="str">
        <f>InpCompany!E88</f>
        <v>Years of delay for deferrals</v>
      </c>
      <c r="D42" s="376" t="s">
        <v>208</v>
      </c>
      <c r="E42" s="376" t="s">
        <v>188</v>
      </c>
      <c r="F42" s="429"/>
      <c r="G42" s="429"/>
      <c r="H42" s="429"/>
      <c r="I42" s="429"/>
      <c r="J42" s="429"/>
      <c r="K42" s="429"/>
      <c r="L42" s="429"/>
      <c r="M42" s="429"/>
      <c r="N42" s="431">
        <f>InpCompany!F88</f>
        <v>1</v>
      </c>
      <c r="O42" s="429"/>
      <c r="P42" s="429"/>
      <c r="Q42" s="429"/>
      <c r="R42" s="429"/>
      <c r="S42" s="429"/>
    </row>
    <row r="43" spans="2:19" x14ac:dyDescent="0.2">
      <c r="B43" s="376" t="str">
        <f>InpCompany!A90</f>
        <v>IPD04_CO_IN_64</v>
      </c>
      <c r="C43" s="376" t="str">
        <f>InpCompany!E90</f>
        <v>Marginal tax rate</v>
      </c>
      <c r="D43" s="376" t="s">
        <v>233</v>
      </c>
      <c r="E43" s="376" t="s">
        <v>188</v>
      </c>
      <c r="F43" s="432"/>
      <c r="G43" s="432"/>
      <c r="H43" s="432"/>
      <c r="I43" s="432"/>
      <c r="J43" s="432"/>
      <c r="K43" s="432"/>
      <c r="L43" s="432">
        <f>InpCompany!Q90</f>
        <v>0</v>
      </c>
      <c r="M43" s="432">
        <f>InpCompany!R90</f>
        <v>0</v>
      </c>
      <c r="N43" s="432">
        <f>InpCompany!S90</f>
        <v>0</v>
      </c>
      <c r="O43" s="432">
        <f>InpCompany!T90</f>
        <v>0</v>
      </c>
      <c r="P43" s="432">
        <f>InpCompany!U90</f>
        <v>0</v>
      </c>
      <c r="Q43" s="432">
        <f>InpCompany!V90</f>
        <v>0</v>
      </c>
      <c r="R43" s="432">
        <f>InpCompany!W90</f>
        <v>0</v>
      </c>
      <c r="S43" s="432">
        <f>InpCompany!X90</f>
        <v>0</v>
      </c>
    </row>
    <row r="44" spans="2:19" x14ac:dyDescent="0.2">
      <c r="B44" s="376" t="str">
        <f>InpCompany!A92</f>
        <v>IPD04_CO_IN_65</v>
      </c>
      <c r="C44" s="376" t="str">
        <f>InpCompany!E92</f>
        <v>November CPIH index</v>
      </c>
      <c r="D44" s="376" t="s">
        <v>208</v>
      </c>
      <c r="E44" s="376" t="s">
        <v>188</v>
      </c>
      <c r="F44" s="433">
        <f>InpCompany!K92</f>
        <v>101.8</v>
      </c>
      <c r="G44" s="433">
        <f>InpCompany!L92</f>
        <v>0</v>
      </c>
      <c r="H44" s="433">
        <f>InpCompany!M92</f>
        <v>0</v>
      </c>
      <c r="I44" s="433">
        <f>InpCompany!N92</f>
        <v>0</v>
      </c>
      <c r="J44" s="433">
        <f>InpCompany!O92</f>
        <v>0</v>
      </c>
      <c r="K44" s="433">
        <f>InpCompany!P92</f>
        <v>0</v>
      </c>
      <c r="L44" s="433">
        <f>InpCompany!Q92</f>
        <v>0</v>
      </c>
      <c r="M44" s="433">
        <f>InpCompany!R92</f>
        <v>0</v>
      </c>
      <c r="N44" s="433">
        <f>InpCompany!S92</f>
        <v>0</v>
      </c>
      <c r="O44" s="433">
        <f>InpCompany!T92</f>
        <v>0</v>
      </c>
      <c r="P44" s="433">
        <f>InpCompany!U92</f>
        <v>0</v>
      </c>
      <c r="Q44" s="433">
        <f>InpCompany!V92</f>
        <v>0</v>
      </c>
      <c r="R44" s="433">
        <f>InpCompany!W92</f>
        <v>0</v>
      </c>
      <c r="S44" s="433">
        <f>InpCompany!X92</f>
        <v>0</v>
      </c>
    </row>
    <row r="45" spans="2:19" x14ac:dyDescent="0.2">
      <c r="B45" s="376" t="str">
        <f>InpCompany!A114</f>
        <v>IPD04_CO_IN_66</v>
      </c>
      <c r="C45" s="376" t="str">
        <f>InpCompany!E114</f>
        <v>Allowed revenue starting point in FD24 - water resources</v>
      </c>
      <c r="D45" s="376" t="s">
        <v>250</v>
      </c>
      <c r="E45" s="376" t="s">
        <v>188</v>
      </c>
      <c r="F45" s="429"/>
      <c r="G45" s="429"/>
      <c r="H45" s="429"/>
      <c r="I45" s="411"/>
      <c r="J45" s="429"/>
      <c r="K45" s="429"/>
      <c r="L45" s="429"/>
      <c r="M45" s="429"/>
      <c r="N45" s="429">
        <f>InpCompany!S114</f>
        <v>0</v>
      </c>
      <c r="O45" s="429"/>
      <c r="P45" s="429"/>
      <c r="Q45" s="429"/>
      <c r="R45" s="429"/>
      <c r="S45" s="429"/>
    </row>
    <row r="46" spans="2:19" x14ac:dyDescent="0.2">
      <c r="B46" s="376" t="str">
        <f>InpCompany!A115</f>
        <v>IPD04_CO_IN_67</v>
      </c>
      <c r="C46" s="376" t="str">
        <f>InpCompany!E115</f>
        <v>K factors (last determined) - water resources</v>
      </c>
      <c r="D46" s="376" t="s">
        <v>208</v>
      </c>
      <c r="E46" s="376" t="s">
        <v>188</v>
      </c>
      <c r="F46" s="429"/>
      <c r="G46" s="429"/>
      <c r="H46" s="429"/>
      <c r="I46" s="429"/>
      <c r="J46" s="429"/>
      <c r="K46" s="429"/>
      <c r="L46" s="429"/>
      <c r="M46" s="429"/>
      <c r="N46" s="429"/>
      <c r="O46" s="429">
        <f>InpCompany!T115</f>
        <v>0</v>
      </c>
      <c r="P46" s="429">
        <f>InpCompany!U115</f>
        <v>0</v>
      </c>
      <c r="Q46" s="429">
        <f>InpCompany!V115</f>
        <v>0</v>
      </c>
      <c r="R46" s="429">
        <f>InpCompany!W115</f>
        <v>0</v>
      </c>
      <c r="S46" s="429">
        <f>InpCompany!X115</f>
        <v>0</v>
      </c>
    </row>
    <row r="47" spans="2:19" x14ac:dyDescent="0.2">
      <c r="B47" s="376" t="str">
        <f>InpCompany!A118</f>
        <v>IPD04_CO_IN_68</v>
      </c>
      <c r="C47" s="376" t="str">
        <f>InpCompany!E118</f>
        <v>Allowed revenue starting point in FD24 - water network plus</v>
      </c>
      <c r="D47" s="376" t="s">
        <v>250</v>
      </c>
      <c r="E47" s="376" t="s">
        <v>188</v>
      </c>
      <c r="F47" s="429"/>
      <c r="G47" s="429"/>
      <c r="H47" s="429"/>
      <c r="I47" s="411"/>
      <c r="J47" s="429"/>
      <c r="K47" s="429"/>
      <c r="L47" s="429"/>
      <c r="M47" s="429"/>
      <c r="N47" s="429">
        <f>InpCompany!S118</f>
        <v>0</v>
      </c>
      <c r="O47" s="429"/>
      <c r="P47" s="429"/>
      <c r="Q47" s="429"/>
      <c r="R47" s="429"/>
      <c r="S47" s="429"/>
    </row>
    <row r="48" spans="2:19" x14ac:dyDescent="0.2">
      <c r="B48" s="376" t="str">
        <f>InpCompany!A119</f>
        <v>IPD04_CO_IN_69</v>
      </c>
      <c r="C48" s="376" t="str">
        <f>InpCompany!E119</f>
        <v>K factors (last determined) - water network plus</v>
      </c>
      <c r="D48" s="376" t="s">
        <v>208</v>
      </c>
      <c r="E48" s="376" t="s">
        <v>188</v>
      </c>
      <c r="F48" s="429"/>
      <c r="G48" s="429"/>
      <c r="H48" s="429"/>
      <c r="I48" s="429"/>
      <c r="J48" s="429"/>
      <c r="K48" s="429"/>
      <c r="L48" s="429"/>
      <c r="M48" s="429"/>
      <c r="N48" s="429"/>
      <c r="O48" s="429">
        <f>InpCompany!T119</f>
        <v>0</v>
      </c>
      <c r="P48" s="429">
        <f>InpCompany!U119</f>
        <v>0</v>
      </c>
      <c r="Q48" s="429">
        <f>InpCompany!V119</f>
        <v>0</v>
      </c>
      <c r="R48" s="429">
        <f>InpCompany!W119</f>
        <v>0</v>
      </c>
      <c r="S48" s="429">
        <f>InpCompany!X119</f>
        <v>0</v>
      </c>
    </row>
    <row r="49" spans="2:19" x14ac:dyDescent="0.2">
      <c r="B49" s="376" t="str">
        <f>InpCompany!A122</f>
        <v>IPD04_CO_IN_70</v>
      </c>
      <c r="C49" s="376" t="str">
        <f>InpCompany!E122</f>
        <v>Allowed revenue starting point in FD24 - wastewater network plus</v>
      </c>
      <c r="D49" s="376" t="s">
        <v>250</v>
      </c>
      <c r="E49" s="376" t="s">
        <v>188</v>
      </c>
      <c r="F49" s="429"/>
      <c r="G49" s="429"/>
      <c r="H49" s="429"/>
      <c r="I49" s="411"/>
      <c r="J49" s="429"/>
      <c r="K49" s="429"/>
      <c r="L49" s="429"/>
      <c r="M49" s="429"/>
      <c r="N49" s="429">
        <f>InpCompany!S122</f>
        <v>0</v>
      </c>
      <c r="O49" s="429"/>
      <c r="P49" s="429"/>
      <c r="Q49" s="429"/>
      <c r="R49" s="429"/>
      <c r="S49" s="429"/>
    </row>
    <row r="50" spans="2:19" x14ac:dyDescent="0.2">
      <c r="B50" s="376" t="str">
        <f>InpCompany!A123</f>
        <v>IPD04_CO_IN_71</v>
      </c>
      <c r="C50" s="376" t="str">
        <f>InpCompany!E123</f>
        <v>K factors (last determined) - wastewater network plus</v>
      </c>
      <c r="D50" s="376" t="s">
        <v>208</v>
      </c>
      <c r="E50" s="376" t="s">
        <v>188</v>
      </c>
      <c r="F50" s="429"/>
      <c r="G50" s="429"/>
      <c r="H50" s="429"/>
      <c r="I50" s="429"/>
      <c r="J50" s="429"/>
      <c r="K50" s="429"/>
      <c r="L50" s="429"/>
      <c r="M50" s="429"/>
      <c r="N50" s="429"/>
      <c r="O50" s="429">
        <f>InpCompany!T123</f>
        <v>0</v>
      </c>
      <c r="P50" s="429">
        <f>InpCompany!U123</f>
        <v>0</v>
      </c>
      <c r="Q50" s="429">
        <f>InpCompany!V123</f>
        <v>0</v>
      </c>
      <c r="R50" s="429">
        <f>InpCompany!W123</f>
        <v>0</v>
      </c>
      <c r="S50" s="429">
        <f>InpCompany!X123</f>
        <v>0</v>
      </c>
    </row>
    <row r="51" spans="2:19" x14ac:dyDescent="0.2">
      <c r="B51" s="376" t="str">
        <f>InpCompany!A126</f>
        <v>IPD04_CO_IN_72</v>
      </c>
      <c r="C51" s="376" t="str">
        <f>InpCompany!E126</f>
        <v>Unadjusted revenue (URt in last determination) - bioresources (sludge)</v>
      </c>
      <c r="D51" s="376" t="s">
        <v>250</v>
      </c>
      <c r="E51" s="376" t="s">
        <v>188</v>
      </c>
      <c r="F51" s="429"/>
      <c r="G51" s="429"/>
      <c r="H51" s="429"/>
      <c r="I51" s="429"/>
      <c r="J51" s="429"/>
      <c r="K51" s="411"/>
      <c r="L51" s="411"/>
      <c r="M51" s="411"/>
      <c r="N51" s="411"/>
      <c r="O51" s="411">
        <f>InpCompany!T126</f>
        <v>0</v>
      </c>
      <c r="P51" s="411">
        <f>InpCompany!U126</f>
        <v>0</v>
      </c>
      <c r="Q51" s="411">
        <f>InpCompany!V126</f>
        <v>0</v>
      </c>
      <c r="R51" s="411">
        <f>InpCompany!W126</f>
        <v>0</v>
      </c>
      <c r="S51" s="411">
        <f>InpCompany!X126</f>
        <v>0</v>
      </c>
    </row>
    <row r="52" spans="2:19" x14ac:dyDescent="0.2">
      <c r="B52" s="376" t="str">
        <f>InpCompany!A129</f>
        <v>IPD04_CO_IN_94</v>
      </c>
      <c r="C52" s="376" t="str">
        <f>InpCompany!E129</f>
        <v>Revenue cost per customer (m) - residential retail</v>
      </c>
      <c r="D52" s="376" t="s">
        <v>303</v>
      </c>
      <c r="E52" s="376" t="s">
        <v>188</v>
      </c>
      <c r="F52" s="429"/>
      <c r="G52" s="429"/>
      <c r="H52" s="429"/>
      <c r="I52" s="429"/>
      <c r="J52" s="429"/>
      <c r="K52" s="411"/>
      <c r="L52" s="411"/>
      <c r="M52" s="411"/>
      <c r="N52" s="411"/>
      <c r="O52" s="411">
        <f>InpCompany!T129</f>
        <v>0</v>
      </c>
      <c r="P52" s="411">
        <f>InpCompany!U129</f>
        <v>0</v>
      </c>
      <c r="Q52" s="411">
        <f>InpCompany!V129</f>
        <v>0</v>
      </c>
      <c r="R52" s="411">
        <f>InpCompany!W129</f>
        <v>0</v>
      </c>
      <c r="S52" s="411">
        <f>InpCompany!X129</f>
        <v>0</v>
      </c>
    </row>
    <row r="53" spans="2:19" x14ac:dyDescent="0.2">
      <c r="B53" s="376" t="str">
        <f>InpCompany!A130</f>
        <v>IPD04_CO_IN_95</v>
      </c>
      <c r="C53" s="376" t="str">
        <f>InpCompany!E130</f>
        <v>Total customer numbers for residential retail</v>
      </c>
      <c r="D53" s="376" t="s">
        <v>308</v>
      </c>
      <c r="E53" s="376" t="s">
        <v>188</v>
      </c>
      <c r="F53" s="429"/>
      <c r="G53" s="429"/>
      <c r="H53" s="429"/>
      <c r="I53" s="429"/>
      <c r="J53" s="429"/>
      <c r="K53" s="411"/>
      <c r="L53" s="411"/>
      <c r="M53" s="411"/>
      <c r="N53" s="411"/>
      <c r="O53" s="411">
        <f>InpCompany!T130</f>
        <v>0</v>
      </c>
      <c r="P53" s="411">
        <f>InpCompany!U130</f>
        <v>0</v>
      </c>
      <c r="Q53" s="411">
        <f>InpCompany!V130</f>
        <v>0</v>
      </c>
      <c r="R53" s="411">
        <f>InpCompany!W130</f>
        <v>0</v>
      </c>
      <c r="S53" s="411">
        <f>InpCompany!X130</f>
        <v>0</v>
      </c>
    </row>
    <row r="54" spans="2:19" x14ac:dyDescent="0.2">
      <c r="B54" s="376" t="str">
        <f>InpCompany!A133</f>
        <v>IPD04_CO_IN_96</v>
      </c>
      <c r="C54" s="376" t="str">
        <f>InpCompany!E133</f>
        <v>Proportion of costs - tariff band 1</v>
      </c>
      <c r="D54" s="376" t="s">
        <v>233</v>
      </c>
      <c r="E54" s="376" t="s">
        <v>188</v>
      </c>
      <c r="F54" s="429"/>
      <c r="G54" s="429"/>
      <c r="H54" s="429"/>
      <c r="I54" s="429"/>
      <c r="J54" s="429"/>
      <c r="K54" s="411"/>
      <c r="L54" s="411"/>
      <c r="M54" s="411"/>
      <c r="N54" s="411"/>
      <c r="O54" s="411">
        <f>InpCompany!T133</f>
        <v>0</v>
      </c>
      <c r="P54" s="411">
        <f>InpCompany!U133</f>
        <v>0</v>
      </c>
      <c r="Q54" s="411">
        <f>InpCompany!V133</f>
        <v>0</v>
      </c>
      <c r="R54" s="411">
        <f>InpCompany!W133</f>
        <v>0</v>
      </c>
      <c r="S54" s="411">
        <f>InpCompany!X133</f>
        <v>0</v>
      </c>
    </row>
    <row r="55" spans="2:19" x14ac:dyDescent="0.2">
      <c r="B55" s="376" t="str">
        <f>InpCompany!A134</f>
        <v>IPD04_CO_IN_97</v>
      </c>
      <c r="C55" s="376" t="str">
        <f>InpCompany!E134</f>
        <v>Proportion of costs - tariff band 2</v>
      </c>
      <c r="D55" s="376" t="s">
        <v>233</v>
      </c>
      <c r="E55" s="376" t="s">
        <v>188</v>
      </c>
      <c r="F55" s="429"/>
      <c r="G55" s="429"/>
      <c r="H55" s="429"/>
      <c r="I55" s="429"/>
      <c r="J55" s="429"/>
      <c r="K55" s="411"/>
      <c r="L55" s="411"/>
      <c r="M55" s="411"/>
      <c r="N55" s="411"/>
      <c r="O55" s="411">
        <f>InpCompany!T134</f>
        <v>0</v>
      </c>
      <c r="P55" s="411">
        <f>InpCompany!U134</f>
        <v>0</v>
      </c>
      <c r="Q55" s="411">
        <f>InpCompany!V134</f>
        <v>0</v>
      </c>
      <c r="R55" s="411">
        <f>InpCompany!W134</f>
        <v>0</v>
      </c>
      <c r="S55" s="411">
        <f>InpCompany!X134</f>
        <v>0</v>
      </c>
    </row>
    <row r="56" spans="2:19" x14ac:dyDescent="0.2">
      <c r="B56" s="376" t="str">
        <f>InpCompany!A136</f>
        <v>IPD04_CO_IN_98</v>
      </c>
      <c r="C56" s="376" t="str">
        <f>InpCompany!E136</f>
        <v>Tariff Band 1 - Number of customers - Water &lt; 50Ml - nominal</v>
      </c>
      <c r="D56" s="376" t="s">
        <v>308</v>
      </c>
      <c r="E56" s="376" t="s">
        <v>188</v>
      </c>
      <c r="F56" s="429"/>
      <c r="G56" s="429"/>
      <c r="H56" s="429"/>
      <c r="I56" s="429"/>
      <c r="J56" s="429"/>
      <c r="K56" s="411"/>
      <c r="L56" s="411"/>
      <c r="M56" s="411"/>
      <c r="N56" s="411"/>
      <c r="O56" s="411">
        <f>InpCompany!T136</f>
        <v>0</v>
      </c>
      <c r="P56" s="411">
        <f>InpCompany!U136</f>
        <v>0</v>
      </c>
      <c r="Q56" s="411">
        <f>InpCompany!V136</f>
        <v>0</v>
      </c>
      <c r="R56" s="411">
        <f>InpCompany!W136</f>
        <v>0</v>
      </c>
      <c r="S56" s="411">
        <f>InpCompany!X136</f>
        <v>0</v>
      </c>
    </row>
    <row r="57" spans="2:19" x14ac:dyDescent="0.2">
      <c r="B57" s="376" t="str">
        <f>InpCompany!A137</f>
        <v>IPD04_CO_IN_99</v>
      </c>
      <c r="C57" s="376" t="str">
        <f>InpCompany!E137</f>
        <v>Tariff Band 2 - Number of customers - Wastewater - nominal</v>
      </c>
      <c r="D57" s="376" t="s">
        <v>308</v>
      </c>
      <c r="E57" s="376" t="s">
        <v>188</v>
      </c>
      <c r="F57" s="429"/>
      <c r="G57" s="429"/>
      <c r="H57" s="429"/>
      <c r="I57" s="429"/>
      <c r="J57" s="429"/>
      <c r="K57" s="411"/>
      <c r="L57" s="411"/>
      <c r="M57" s="411"/>
      <c r="N57" s="411"/>
      <c r="O57" s="411">
        <f>InpCompany!T137</f>
        <v>0</v>
      </c>
      <c r="P57" s="411">
        <f>InpCompany!U137</f>
        <v>0</v>
      </c>
      <c r="Q57" s="411">
        <f>InpCompany!V137</f>
        <v>0</v>
      </c>
      <c r="R57" s="411">
        <f>InpCompany!W137</f>
        <v>0</v>
      </c>
      <c r="S57" s="411">
        <f>InpCompany!X137</f>
        <v>0</v>
      </c>
    </row>
    <row r="58" spans="2:19" x14ac:dyDescent="0.2">
      <c r="B58" s="376" t="str">
        <f>InpCompany!A139</f>
        <v>IPD04_CO_IN_100</v>
      </c>
      <c r="C58" s="376" t="str">
        <f>InpCompany!E139</f>
        <v>Price Limits Business - Tariff Band - Retail cost per customer inc Margin, DPC &amp; business retail revenue adjustment - nominal (1)</v>
      </c>
      <c r="D58" s="376" t="s">
        <v>303</v>
      </c>
      <c r="E58" s="376" t="s">
        <v>188</v>
      </c>
      <c r="F58" s="429"/>
      <c r="G58" s="429"/>
      <c r="H58" s="429"/>
      <c r="I58" s="429"/>
      <c r="J58" s="429"/>
      <c r="K58" s="411"/>
      <c r="L58" s="411"/>
      <c r="M58" s="411"/>
      <c r="N58" s="411"/>
      <c r="O58" s="411">
        <f>InpCompany!T139</f>
        <v>0</v>
      </c>
      <c r="P58" s="411">
        <f>InpCompany!U139</f>
        <v>0</v>
      </c>
      <c r="Q58" s="411">
        <f>InpCompany!V139</f>
        <v>0</v>
      </c>
      <c r="R58" s="411">
        <f>InpCompany!W139</f>
        <v>0</v>
      </c>
      <c r="S58" s="411">
        <f>InpCompany!X139</f>
        <v>0</v>
      </c>
    </row>
    <row r="59" spans="2:19" x14ac:dyDescent="0.2">
      <c r="B59" s="376" t="str">
        <f>InpCompany!A140</f>
        <v>IPD04_CO_IN_101</v>
      </c>
      <c r="C59" s="376" t="str">
        <f>InpCompany!E140</f>
        <v>Price Limits Business - Tariff Band - Retail cost per customer inc Margin, DPC &amp; business retail revenue adjustment - nominal (2)</v>
      </c>
      <c r="D59" s="376" t="s">
        <v>303</v>
      </c>
      <c r="E59" s="376" t="s">
        <v>188</v>
      </c>
      <c r="F59" s="429"/>
      <c r="G59" s="429"/>
      <c r="H59" s="429"/>
      <c r="I59" s="429"/>
      <c r="J59" s="429"/>
      <c r="K59" s="411"/>
      <c r="L59" s="411"/>
      <c r="M59" s="411"/>
      <c r="N59" s="411"/>
      <c r="O59" s="411">
        <f>InpCompany!T140</f>
        <v>0</v>
      </c>
      <c r="P59" s="411">
        <f>InpCompany!U140</f>
        <v>0</v>
      </c>
      <c r="Q59" s="411">
        <f>InpCompany!V140</f>
        <v>0</v>
      </c>
      <c r="R59" s="411">
        <f>InpCompany!W140</f>
        <v>0</v>
      </c>
      <c r="S59" s="411">
        <f>InpCompany!X140</f>
        <v>0</v>
      </c>
    </row>
    <row r="60" spans="2:19" x14ac:dyDescent="0.2">
      <c r="B60" s="376" t="str">
        <f>InpCompany!A143</f>
        <v>IPD04_CO_IN_92</v>
      </c>
      <c r="C60" s="376" t="str">
        <f>InpCompany!E143</f>
        <v>Allowed revenue starting point in FD24 - additional control 1</v>
      </c>
      <c r="D60" s="376" t="s">
        <v>250</v>
      </c>
      <c r="E60" s="376" t="s">
        <v>188</v>
      </c>
      <c r="F60" s="429"/>
      <c r="G60" s="429"/>
      <c r="H60" s="429"/>
      <c r="I60" s="411"/>
      <c r="J60" s="429"/>
      <c r="K60" s="411"/>
      <c r="L60" s="411"/>
      <c r="M60" s="411"/>
      <c r="N60" s="429">
        <f>InpCompany!S143</f>
        <v>0</v>
      </c>
      <c r="O60" s="411"/>
      <c r="P60" s="411"/>
      <c r="Q60" s="411"/>
      <c r="R60" s="411"/>
      <c r="S60" s="411"/>
    </row>
    <row r="61" spans="2:19" x14ac:dyDescent="0.2">
      <c r="B61" s="376" t="str">
        <f>InpCompany!A144</f>
        <v>IPD04_CO_IN_93</v>
      </c>
      <c r="C61" s="376" t="str">
        <f>InpCompany!E144</f>
        <v>K factors (last determined) - additional control 1</v>
      </c>
      <c r="D61" s="376" t="s">
        <v>208</v>
      </c>
      <c r="E61" s="376" t="s">
        <v>188</v>
      </c>
      <c r="F61" s="429"/>
      <c r="G61" s="429"/>
      <c r="H61" s="429"/>
      <c r="I61" s="429"/>
      <c r="J61" s="429"/>
      <c r="K61" s="429"/>
      <c r="L61" s="429"/>
      <c r="M61" s="429"/>
      <c r="N61" s="429"/>
      <c r="O61" s="429">
        <f>InpCompany!T144</f>
        <v>0</v>
      </c>
      <c r="P61" s="429">
        <f>InpCompany!U144</f>
        <v>0</v>
      </c>
      <c r="Q61" s="429">
        <f>InpCompany!V144</f>
        <v>0</v>
      </c>
      <c r="R61" s="429">
        <f>InpCompany!W144</f>
        <v>0</v>
      </c>
      <c r="S61" s="429">
        <f>InpCompany!X144</f>
        <v>0</v>
      </c>
    </row>
    <row r="62" spans="2:19" x14ac:dyDescent="0.2">
      <c r="B62" s="376" t="str">
        <f>InpCompany!A147</f>
        <v>IPD04_CO_IN_92a</v>
      </c>
      <c r="C62" s="376" t="str">
        <f>InpCompany!E147</f>
        <v>Allowed revenue starting point in FD24 - additional control 2</v>
      </c>
      <c r="D62" s="376" t="s">
        <v>250</v>
      </c>
      <c r="E62" s="376" t="s">
        <v>188</v>
      </c>
      <c r="F62" s="429"/>
      <c r="G62" s="429"/>
      <c r="H62" s="429"/>
      <c r="I62" s="411"/>
      <c r="J62" s="429"/>
      <c r="K62" s="411"/>
      <c r="L62" s="411"/>
      <c r="M62" s="411"/>
      <c r="N62" s="429">
        <f>InpCompany!S147</f>
        <v>0</v>
      </c>
      <c r="O62" s="411"/>
      <c r="P62" s="411"/>
      <c r="Q62" s="411"/>
      <c r="R62" s="411"/>
      <c r="S62" s="411"/>
    </row>
    <row r="63" spans="2:19" x14ac:dyDescent="0.2">
      <c r="B63" s="376" t="str">
        <f>InpCompany!A148</f>
        <v>IPD04_CO_IN_93a</v>
      </c>
      <c r="C63" s="376" t="str">
        <f>InpCompany!E148</f>
        <v>K factors (last determined) - additional control 2</v>
      </c>
      <c r="D63" s="376" t="s">
        <v>208</v>
      </c>
      <c r="E63" s="376" t="s">
        <v>188</v>
      </c>
      <c r="F63" s="429"/>
      <c r="G63" s="429"/>
      <c r="H63" s="429"/>
      <c r="I63" s="429"/>
      <c r="J63" s="429"/>
      <c r="K63" s="429"/>
      <c r="L63" s="429"/>
      <c r="M63" s="429"/>
      <c r="N63" s="429"/>
      <c r="O63" s="429">
        <f>InpCompany!T148</f>
        <v>0</v>
      </c>
      <c r="P63" s="429">
        <f>InpCompany!U148</f>
        <v>0</v>
      </c>
      <c r="Q63" s="429">
        <f>InpCompany!V148</f>
        <v>0</v>
      </c>
      <c r="R63" s="429">
        <f>InpCompany!W148</f>
        <v>0</v>
      </c>
      <c r="S63" s="429">
        <f>InpCompany!X148</f>
        <v>0</v>
      </c>
    </row>
  </sheetData>
  <phoneticPr fontId="7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C0720-C1D3-4E3D-89AC-A3307C6D1583}">
  <sheetPr>
    <tabColor rgb="FFD740A2"/>
    <pageSetUpPr fitToPage="1"/>
  </sheetPr>
  <dimension ref="A1:G26"/>
  <sheetViews>
    <sheetView showGridLines="0" zoomScale="80" zoomScaleNormal="80" workbookViewId="0"/>
  </sheetViews>
  <sheetFormatPr defaultColWidth="0" defaultRowHeight="20.25" zeroHeight="1" x14ac:dyDescent="0.2"/>
  <cols>
    <col min="1" max="1" width="13" style="105" customWidth="1"/>
    <col min="2" max="2" width="18" style="105" customWidth="1"/>
    <col min="3" max="3" width="9.625" style="105" customWidth="1"/>
    <col min="4" max="4" width="10.625" style="105" customWidth="1"/>
    <col min="5" max="5" width="10" style="105" customWidth="1"/>
    <col min="6" max="7" width="0" style="105" hidden="1" customWidth="1"/>
    <col min="8" max="16384" width="9.625" style="105" hidden="1"/>
  </cols>
  <sheetData>
    <row r="1" spans="1:7" s="106" customFormat="1" ht="44.25" x14ac:dyDescent="0.2">
      <c r="A1" s="110" t="str">
        <f ca="1" xml:space="preserve"> RIGHT(CELL("filename", $A$1), LEN(CELL("filename", $A$1)) - SEARCH("]", CELL("filename", $A$1)))</f>
        <v>Validation</v>
      </c>
      <c r="B1" s="110"/>
      <c r="C1" s="110"/>
      <c r="D1" s="110"/>
      <c r="E1" s="387" t="str">
        <f>InpActive!F9</f>
        <v>Anglian Water</v>
      </c>
      <c r="G1" s="322"/>
    </row>
    <row r="2" spans="1:7" x14ac:dyDescent="0.2"/>
    <row r="3" spans="1:7" x14ac:dyDescent="0.2">
      <c r="A3" s="4" t="s">
        <v>87</v>
      </c>
      <c r="B3" s="4" t="s">
        <v>88</v>
      </c>
      <c r="C3" s="4" t="s">
        <v>89</v>
      </c>
      <c r="D3" s="4" t="s">
        <v>90</v>
      </c>
      <c r="E3" s="4" t="s">
        <v>91</v>
      </c>
      <c r="F3" s="323"/>
      <c r="G3" s="323"/>
    </row>
    <row r="4" spans="1:7" ht="60.75" x14ac:dyDescent="0.2">
      <c r="A4" s="5" t="s">
        <v>92</v>
      </c>
      <c r="B4" s="5" t="s">
        <v>93</v>
      </c>
      <c r="C4" s="5" t="s">
        <v>93</v>
      </c>
      <c r="D4" s="5"/>
      <c r="E4" s="5"/>
    </row>
    <row r="5" spans="1:7" x14ac:dyDescent="0.2">
      <c r="A5" s="5" t="s">
        <v>94</v>
      </c>
      <c r="B5" s="5" t="s">
        <v>95</v>
      </c>
      <c r="C5" s="5" t="s">
        <v>96</v>
      </c>
      <c r="D5" s="5" t="b">
        <v>1</v>
      </c>
      <c r="E5" s="5" t="s">
        <v>97</v>
      </c>
      <c r="F5" s="323"/>
      <c r="G5" s="323"/>
    </row>
    <row r="6" spans="1:7" x14ac:dyDescent="0.2">
      <c r="A6" s="436"/>
      <c r="B6" s="5" t="s">
        <v>98</v>
      </c>
      <c r="C6" s="5" t="s">
        <v>99</v>
      </c>
      <c r="D6" s="5" t="b">
        <v>0</v>
      </c>
      <c r="E6" s="5" t="s">
        <v>100</v>
      </c>
      <c r="F6" s="323"/>
      <c r="G6" s="323"/>
    </row>
    <row r="7" spans="1:7" x14ac:dyDescent="0.2">
      <c r="A7" s="437"/>
      <c r="B7" s="5" t="s">
        <v>101</v>
      </c>
      <c r="C7" s="5" t="s">
        <v>102</v>
      </c>
      <c r="D7" s="5"/>
      <c r="E7" s="5"/>
    </row>
    <row r="8" spans="1:7" x14ac:dyDescent="0.2">
      <c r="A8" s="437"/>
      <c r="B8" s="5" t="s">
        <v>103</v>
      </c>
      <c r="C8" s="5" t="s">
        <v>104</v>
      </c>
      <c r="D8" s="324"/>
      <c r="E8" s="324"/>
    </row>
    <row r="9" spans="1:7" x14ac:dyDescent="0.2">
      <c r="A9" s="437"/>
      <c r="B9" s="5" t="s">
        <v>105</v>
      </c>
      <c r="C9" s="5" t="s">
        <v>106</v>
      </c>
      <c r="D9" s="325"/>
      <c r="E9" s="325"/>
    </row>
    <row r="10" spans="1:7" x14ac:dyDescent="0.2">
      <c r="A10" s="437"/>
      <c r="B10" s="5" t="s">
        <v>107</v>
      </c>
      <c r="C10" s="5" t="s">
        <v>108</v>
      </c>
      <c r="D10" s="325"/>
      <c r="E10" s="325"/>
    </row>
    <row r="11" spans="1:7" x14ac:dyDescent="0.2">
      <c r="A11" s="107"/>
      <c r="B11" s="5" t="s">
        <v>109</v>
      </c>
      <c r="C11" s="5" t="s">
        <v>110</v>
      </c>
      <c r="D11" s="325"/>
      <c r="E11" s="325"/>
    </row>
    <row r="12" spans="1:7" ht="40.5" x14ac:dyDescent="0.2">
      <c r="A12" s="107"/>
      <c r="B12" s="5" t="s">
        <v>111</v>
      </c>
      <c r="C12" s="5" t="s">
        <v>112</v>
      </c>
      <c r="D12" s="325"/>
      <c r="E12" s="325"/>
    </row>
    <row r="13" spans="1:7" x14ac:dyDescent="0.2">
      <c r="A13" s="107"/>
      <c r="B13" s="5" t="s">
        <v>113</v>
      </c>
      <c r="C13" s="5" t="s">
        <v>114</v>
      </c>
      <c r="D13" s="325"/>
      <c r="E13" s="325"/>
    </row>
    <row r="14" spans="1:7" x14ac:dyDescent="0.2">
      <c r="A14" s="107"/>
      <c r="B14" s="5" t="s">
        <v>115</v>
      </c>
      <c r="C14" s="5" t="s">
        <v>116</v>
      </c>
      <c r="D14" s="325"/>
      <c r="E14" s="325"/>
    </row>
    <row r="15" spans="1:7" x14ac:dyDescent="0.2">
      <c r="A15" s="107"/>
      <c r="B15" s="5" t="s">
        <v>115</v>
      </c>
      <c r="C15" s="5" t="s">
        <v>117</v>
      </c>
      <c r="D15" s="325"/>
      <c r="E15" s="325"/>
    </row>
    <row r="16" spans="1:7" x14ac:dyDescent="0.2">
      <c r="A16" s="107"/>
      <c r="B16" s="5" t="s">
        <v>118</v>
      </c>
      <c r="C16" s="5" t="s">
        <v>119</v>
      </c>
      <c r="D16" s="325"/>
      <c r="E16" s="325"/>
    </row>
    <row r="17" spans="1:5" x14ac:dyDescent="0.2">
      <c r="A17" s="107"/>
      <c r="B17" s="5" t="s">
        <v>120</v>
      </c>
      <c r="C17" s="5" t="s">
        <v>121</v>
      </c>
      <c r="D17" s="325"/>
      <c r="E17" s="325"/>
    </row>
    <row r="18" spans="1:5" x14ac:dyDescent="0.2">
      <c r="A18" s="107"/>
      <c r="B18" s="5" t="s">
        <v>122</v>
      </c>
      <c r="C18" s="5" t="s">
        <v>123</v>
      </c>
      <c r="D18" s="325"/>
      <c r="E18" s="325"/>
    </row>
    <row r="19" spans="1:5" ht="40.5" x14ac:dyDescent="0.2">
      <c r="A19" s="107"/>
      <c r="B19" s="5" t="s">
        <v>124</v>
      </c>
      <c r="C19" s="5" t="s">
        <v>125</v>
      </c>
      <c r="D19" s="325"/>
      <c r="E19" s="325"/>
    </row>
    <row r="20" spans="1:5" x14ac:dyDescent="0.2">
      <c r="A20" s="107"/>
      <c r="B20" s="5" t="s">
        <v>126</v>
      </c>
      <c r="C20" s="5" t="s">
        <v>127</v>
      </c>
      <c r="D20" s="325"/>
      <c r="E20" s="325"/>
    </row>
    <row r="21" spans="1:5" x14ac:dyDescent="0.2">
      <c r="A21" s="107"/>
      <c r="B21" s="5" t="s">
        <v>128</v>
      </c>
      <c r="C21" s="5" t="s">
        <v>129</v>
      </c>
      <c r="D21" s="325"/>
      <c r="E21" s="325"/>
    </row>
    <row r="22" spans="1:5" x14ac:dyDescent="0.2">
      <c r="A22" s="107"/>
      <c r="B22" s="5" t="s">
        <v>130</v>
      </c>
      <c r="C22" s="5" t="s">
        <v>131</v>
      </c>
      <c r="D22" s="325"/>
      <c r="E22" s="325"/>
    </row>
    <row r="23" spans="1:5" x14ac:dyDescent="0.2">
      <c r="A23" s="107"/>
      <c r="B23" s="5" t="s">
        <v>132</v>
      </c>
      <c r="C23" s="5" t="s">
        <v>133</v>
      </c>
      <c r="D23" s="325"/>
      <c r="E23" s="325"/>
    </row>
    <row r="24" spans="1:5" x14ac:dyDescent="0.2"/>
    <row r="25" spans="1:5" s="208" customFormat="1" ht="13.5" x14ac:dyDescent="0.25">
      <c r="A25" s="208" t="s">
        <v>134</v>
      </c>
    </row>
    <row r="26" spans="1:5" x14ac:dyDescent="0.2"/>
  </sheetData>
  <pageMargins left="0.70866141732283472" right="0.70866141732283472" top="0.74803149606299213" bottom="0.74803149606299213" header="0.31496062992125984" footer="0.31496062992125984"/>
  <pageSetup paperSize="9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C1DE5-178D-4AF4-B4BC-BB01F4AA7FC2}">
  <sheetPr>
    <tabColor theme="5" tint="0.79998168889431442"/>
    <pageSetUpPr fitToPage="1"/>
  </sheetPr>
  <dimension ref="A1:L165"/>
  <sheetViews>
    <sheetView showGridLines="0" zoomScale="80" zoomScaleNormal="80" workbookViewId="0"/>
  </sheetViews>
  <sheetFormatPr defaultColWidth="0" defaultRowHeight="12.6" customHeight="1" zeroHeight="1" x14ac:dyDescent="0.2"/>
  <cols>
    <col min="1" max="1" width="2.625" style="213" customWidth="1"/>
    <col min="2" max="2" width="45.625" style="213" customWidth="1"/>
    <col min="3" max="3" width="2.625" style="213" customWidth="1"/>
    <col min="4" max="4" width="45.625" style="213" customWidth="1"/>
    <col min="5" max="5" width="2.625" style="213" customWidth="1"/>
    <col min="6" max="6" width="45.625" style="213" customWidth="1"/>
    <col min="7" max="7" width="2.625" style="213" customWidth="1"/>
    <col min="8" max="8" width="45.625" style="213" customWidth="1"/>
    <col min="9" max="9" width="2.625" style="213" customWidth="1"/>
    <col min="10" max="10" width="45.625" style="213" customWidth="1"/>
    <col min="11" max="11" width="2.625" style="213" customWidth="1"/>
    <col min="12" max="12" width="58.625" style="213" hidden="1" customWidth="1"/>
    <col min="13" max="16384" width="8.375" style="213" hidden="1"/>
  </cols>
  <sheetData>
    <row r="1" spans="1:11" s="219" customFormat="1" ht="30" x14ac:dyDescent="0.4">
      <c r="A1" s="216" t="str">
        <f ca="1" xml:space="preserve"> RIGHT(CELL("filename", $A$1), LEN(CELL("filename", $A$1)) - SEARCH("]", CELL("filename", $A$1)))</f>
        <v>ToC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 s="234" customFormat="1" ht="12.75" x14ac:dyDescent="0.2"/>
    <row r="3" spans="1:11" s="234" customFormat="1" ht="15.75" x14ac:dyDescent="0.3">
      <c r="B3" s="220" t="s">
        <v>135</v>
      </c>
      <c r="D3" s="220" t="s">
        <v>136</v>
      </c>
      <c r="F3" s="220" t="s">
        <v>137</v>
      </c>
      <c r="H3" s="220" t="s">
        <v>138</v>
      </c>
    </row>
    <row r="4" spans="1:11" s="234" customFormat="1" ht="12.75" x14ac:dyDescent="0.2"/>
    <row r="5" spans="1:11" s="353" customFormat="1" ht="12.75" x14ac:dyDescent="0.2">
      <c r="B5" s="354" t="s">
        <v>139</v>
      </c>
      <c r="D5" s="355" t="s">
        <v>140</v>
      </c>
      <c r="E5" s="356"/>
      <c r="F5" s="357" t="s">
        <v>141</v>
      </c>
      <c r="H5" s="358" t="s">
        <v>86</v>
      </c>
      <c r="J5" s="359"/>
    </row>
    <row r="6" spans="1:11" s="353" customFormat="1" ht="25.5" x14ac:dyDescent="0.2">
      <c r="B6" s="353" t="s">
        <v>142</v>
      </c>
      <c r="D6" s="360" t="s">
        <v>143</v>
      </c>
      <c r="F6" s="360" t="s">
        <v>144</v>
      </c>
      <c r="H6" s="353" t="s">
        <v>145</v>
      </c>
      <c r="J6" s="361"/>
    </row>
    <row r="7" spans="1:11" s="353" customFormat="1" ht="12.75" x14ac:dyDescent="0.2">
      <c r="J7" s="361"/>
    </row>
    <row r="8" spans="1:11" s="353" customFormat="1" ht="12.75" x14ac:dyDescent="0.2">
      <c r="B8" s="354" t="s">
        <v>146</v>
      </c>
      <c r="D8" s="355" t="s">
        <v>147</v>
      </c>
      <c r="E8" s="356"/>
      <c r="F8" s="357" t="s">
        <v>148</v>
      </c>
      <c r="H8" s="358" t="s">
        <v>149</v>
      </c>
      <c r="J8" s="359"/>
    </row>
    <row r="9" spans="1:11" s="353" customFormat="1" ht="25.5" x14ac:dyDescent="0.2">
      <c r="B9" s="353" t="s">
        <v>150</v>
      </c>
      <c r="D9" s="360" t="s">
        <v>151</v>
      </c>
      <c r="F9" s="360" t="s">
        <v>152</v>
      </c>
      <c r="H9" s="353" t="s">
        <v>153</v>
      </c>
    </row>
    <row r="10" spans="1:11" s="353" customFormat="1" ht="12.75" x14ac:dyDescent="0.2">
      <c r="H10" s="361"/>
    </row>
    <row r="11" spans="1:11" s="353" customFormat="1" ht="12.75" x14ac:dyDescent="0.2">
      <c r="B11" s="362" t="s">
        <v>154</v>
      </c>
      <c r="E11" s="356"/>
      <c r="F11" s="396" t="s">
        <v>155</v>
      </c>
      <c r="H11" s="358" t="s">
        <v>156</v>
      </c>
    </row>
    <row r="12" spans="1:11" s="353" customFormat="1" ht="25.5" x14ac:dyDescent="0.2">
      <c r="B12" s="353" t="s">
        <v>157</v>
      </c>
      <c r="F12" s="360" t="s">
        <v>158</v>
      </c>
      <c r="H12" s="353" t="s">
        <v>159</v>
      </c>
    </row>
    <row r="13" spans="1:11" s="353" customFormat="1" ht="12.75" x14ac:dyDescent="0.2">
      <c r="H13" s="361"/>
    </row>
    <row r="14" spans="1:11" s="353" customFormat="1" ht="12.75" x14ac:dyDescent="0.2">
      <c r="B14" s="362" t="s">
        <v>160</v>
      </c>
      <c r="F14" s="396" t="s">
        <v>56</v>
      </c>
      <c r="H14" s="361"/>
    </row>
    <row r="15" spans="1:11" s="353" customFormat="1" ht="38.25" x14ac:dyDescent="0.2">
      <c r="B15" s="353" t="s">
        <v>161</v>
      </c>
      <c r="F15" s="364" t="s">
        <v>162</v>
      </c>
      <c r="H15" s="361"/>
    </row>
    <row r="16" spans="1:11" s="353" customFormat="1" ht="12.75" x14ac:dyDescent="0.2">
      <c r="F16" s="365"/>
    </row>
    <row r="17" spans="1:11" s="353" customFormat="1" ht="12.75" x14ac:dyDescent="0.2">
      <c r="B17" s="363" t="s">
        <v>163</v>
      </c>
      <c r="F17" s="396" t="s">
        <v>164</v>
      </c>
    </row>
    <row r="18" spans="1:11" s="356" customFormat="1" ht="51" x14ac:dyDescent="0.2">
      <c r="A18" s="353"/>
      <c r="B18" s="360" t="s">
        <v>165</v>
      </c>
      <c r="C18" s="353"/>
      <c r="D18" s="353"/>
      <c r="E18" s="353"/>
      <c r="F18" s="364" t="s">
        <v>166</v>
      </c>
      <c r="G18" s="353"/>
      <c r="H18" s="353"/>
      <c r="I18" s="353"/>
      <c r="J18" s="353"/>
      <c r="K18" s="353"/>
    </row>
    <row r="19" spans="1:11" s="356" customFormat="1" ht="12.75" x14ac:dyDescent="0.2">
      <c r="A19" s="353"/>
      <c r="B19" s="353"/>
      <c r="C19" s="353"/>
      <c r="D19" s="353"/>
      <c r="E19" s="353"/>
      <c r="F19" s="366"/>
      <c r="G19" s="353"/>
      <c r="H19" s="353"/>
      <c r="I19" s="353"/>
      <c r="J19" s="353"/>
      <c r="K19" s="353"/>
    </row>
    <row r="20" spans="1:11" s="356" customFormat="1" ht="12.75" x14ac:dyDescent="0.2">
      <c r="A20" s="353"/>
      <c r="B20" s="363" t="s">
        <v>167</v>
      </c>
      <c r="C20" s="353"/>
      <c r="D20" s="353"/>
      <c r="E20" s="353"/>
      <c r="F20" s="396" t="s">
        <v>168</v>
      </c>
      <c r="G20" s="353"/>
      <c r="H20" s="353"/>
      <c r="I20" s="353"/>
      <c r="J20" s="353"/>
      <c r="K20" s="353"/>
    </row>
    <row r="21" spans="1:11" s="356" customFormat="1" ht="25.5" x14ac:dyDescent="0.2">
      <c r="A21" s="353"/>
      <c r="B21" s="360" t="s">
        <v>169</v>
      </c>
      <c r="C21" s="353"/>
      <c r="D21" s="353"/>
      <c r="E21" s="353"/>
      <c r="F21" s="364" t="s">
        <v>170</v>
      </c>
      <c r="G21" s="353"/>
      <c r="H21" s="353"/>
      <c r="I21" s="353"/>
      <c r="J21" s="353"/>
      <c r="K21" s="353"/>
    </row>
    <row r="22" spans="1:11" s="356" customFormat="1" ht="12.75" x14ac:dyDescent="0.2">
      <c r="A22" s="353"/>
      <c r="B22" s="353"/>
      <c r="C22" s="353"/>
      <c r="D22" s="353"/>
      <c r="E22" s="353"/>
      <c r="F22" s="366"/>
      <c r="G22" s="353"/>
      <c r="H22" s="353"/>
      <c r="I22" s="353"/>
      <c r="J22" s="353"/>
      <c r="K22" s="353"/>
    </row>
    <row r="23" spans="1:11" s="356" customFormat="1" ht="12.75" x14ac:dyDescent="0.2">
      <c r="A23" s="353"/>
      <c r="B23" s="353"/>
      <c r="C23" s="353"/>
      <c r="D23" s="353"/>
      <c r="E23" s="353"/>
      <c r="F23" s="396" t="s">
        <v>171</v>
      </c>
      <c r="G23" s="353"/>
      <c r="H23" s="353"/>
      <c r="I23" s="353"/>
      <c r="J23" s="353"/>
      <c r="K23" s="353"/>
    </row>
    <row r="24" spans="1:11" s="356" customFormat="1" ht="25.5" x14ac:dyDescent="0.2">
      <c r="A24" s="353"/>
      <c r="B24" s="353"/>
      <c r="C24" s="353"/>
      <c r="D24" s="353"/>
      <c r="E24" s="353"/>
      <c r="F24" s="364" t="s">
        <v>172</v>
      </c>
      <c r="G24" s="353"/>
      <c r="H24" s="353"/>
      <c r="I24" s="353"/>
      <c r="J24" s="353"/>
      <c r="K24" s="353"/>
    </row>
    <row r="25" spans="1:11" s="356" customFormat="1" ht="12.75" x14ac:dyDescent="0.2">
      <c r="A25" s="353"/>
      <c r="B25" s="353"/>
      <c r="C25" s="353"/>
      <c r="D25" s="353"/>
      <c r="E25" s="353"/>
      <c r="F25" s="366"/>
      <c r="G25" s="353"/>
      <c r="H25" s="353"/>
      <c r="I25" s="353"/>
      <c r="J25" s="353"/>
      <c r="K25" s="353"/>
    </row>
    <row r="26" spans="1:11" s="356" customFormat="1" ht="12.75" x14ac:dyDescent="0.2">
      <c r="A26" s="353"/>
      <c r="B26" s="353"/>
      <c r="C26" s="353"/>
      <c r="D26" s="353"/>
      <c r="E26" s="353"/>
      <c r="F26" s="396" t="s">
        <v>173</v>
      </c>
      <c r="G26" s="353"/>
      <c r="H26" s="353"/>
      <c r="I26" s="353"/>
      <c r="J26" s="353"/>
      <c r="K26" s="353"/>
    </row>
    <row r="27" spans="1:11" s="353" customFormat="1" ht="25.5" x14ac:dyDescent="0.2">
      <c r="F27" s="364" t="s">
        <v>174</v>
      </c>
    </row>
    <row r="28" spans="1:11" s="353" customFormat="1" ht="12.75" x14ac:dyDescent="0.2">
      <c r="F28" s="366"/>
    </row>
    <row r="29" spans="1:11" s="353" customFormat="1" ht="12.75" x14ac:dyDescent="0.2">
      <c r="F29" s="396" t="s">
        <v>175</v>
      </c>
    </row>
    <row r="30" spans="1:11" s="353" customFormat="1" ht="25.5" x14ac:dyDescent="0.2">
      <c r="F30" s="364" t="s">
        <v>176</v>
      </c>
    </row>
    <row r="31" spans="1:11" s="353" customFormat="1" ht="12.75" x14ac:dyDescent="0.2">
      <c r="F31" s="366"/>
    </row>
    <row r="32" spans="1:11" s="353" customFormat="1" ht="12.75" x14ac:dyDescent="0.2">
      <c r="F32" s="396" t="s">
        <v>177</v>
      </c>
    </row>
    <row r="33" spans="1:6" s="353" customFormat="1" ht="25.5" x14ac:dyDescent="0.2">
      <c r="F33" s="364" t="s">
        <v>178</v>
      </c>
    </row>
    <row r="34" spans="1:6" s="353" customFormat="1" ht="12.75" x14ac:dyDescent="0.2">
      <c r="F34" s="366"/>
    </row>
    <row r="35" spans="1:6" s="353" customFormat="1" ht="12.75" x14ac:dyDescent="0.2">
      <c r="F35" s="396" t="s">
        <v>179</v>
      </c>
    </row>
    <row r="36" spans="1:6" s="353" customFormat="1" ht="54" customHeight="1" x14ac:dyDescent="0.2">
      <c r="F36" s="364" t="s">
        <v>180</v>
      </c>
    </row>
    <row r="37" spans="1:6" s="353" customFormat="1" ht="12.75" x14ac:dyDescent="0.2">
      <c r="F37" s="364"/>
    </row>
    <row r="38" spans="1:6" s="353" customFormat="1" ht="12.75" x14ac:dyDescent="0.2">
      <c r="F38" s="396" t="s">
        <v>181</v>
      </c>
    </row>
    <row r="39" spans="1:6" s="353" customFormat="1" ht="38.25" x14ac:dyDescent="0.2">
      <c r="F39" s="364" t="s">
        <v>182</v>
      </c>
    </row>
    <row r="40" spans="1:6" s="353" customFormat="1" ht="12.75" x14ac:dyDescent="0.2">
      <c r="F40" s="364"/>
    </row>
    <row r="41" spans="1:6" s="234" customFormat="1" ht="12.75" x14ac:dyDescent="0.2">
      <c r="F41" s="235"/>
    </row>
    <row r="42" spans="1:6" s="208" customFormat="1" ht="13.5" x14ac:dyDescent="0.25">
      <c r="A42" s="208" t="s">
        <v>59</v>
      </c>
    </row>
    <row r="43" spans="1:6" s="234" customFormat="1" ht="12.75" hidden="1" x14ac:dyDescent="0.2"/>
    <row r="44" spans="1:6" s="234" customFormat="1" ht="12.75" hidden="1" x14ac:dyDescent="0.2"/>
    <row r="45" spans="1:6" s="234" customFormat="1" ht="12.75" hidden="1" x14ac:dyDescent="0.2"/>
    <row r="46" spans="1:6" s="234" customFormat="1" ht="12.75" hidden="1" x14ac:dyDescent="0.2"/>
    <row r="47" spans="1:6" s="234" customFormat="1" ht="12.75" hidden="1" x14ac:dyDescent="0.2"/>
    <row r="48" spans="1:6" s="234" customFormat="1" ht="12.75" hidden="1" x14ac:dyDescent="0.2"/>
    <row r="49" s="234" customFormat="1" ht="12.75" hidden="1" x14ac:dyDescent="0.2"/>
    <row r="50" s="234" customFormat="1" ht="12.75" hidden="1" x14ac:dyDescent="0.2"/>
    <row r="51" s="234" customFormat="1" ht="12.75" hidden="1" x14ac:dyDescent="0.2"/>
    <row r="52" s="234" customFormat="1" ht="12.75" hidden="1" x14ac:dyDescent="0.2"/>
    <row r="53" s="234" customFormat="1" ht="12.75" hidden="1" x14ac:dyDescent="0.2"/>
    <row r="54" s="234" customFormat="1" ht="12.75" hidden="1" x14ac:dyDescent="0.2"/>
    <row r="55" s="234" customFormat="1" ht="12.75" hidden="1" x14ac:dyDescent="0.2"/>
    <row r="56" s="234" customFormat="1" ht="12.75" hidden="1" x14ac:dyDescent="0.2"/>
    <row r="57" s="234" customFormat="1" ht="12.75" hidden="1" x14ac:dyDescent="0.2"/>
    <row r="58" s="234" customFormat="1" ht="12.75" hidden="1" x14ac:dyDescent="0.2"/>
    <row r="59" s="234" customFormat="1" ht="12.75" hidden="1" x14ac:dyDescent="0.2"/>
    <row r="60" s="234" customFormat="1" ht="12.75" hidden="1" x14ac:dyDescent="0.2"/>
    <row r="61" s="234" customFormat="1" ht="12.75" hidden="1" x14ac:dyDescent="0.2"/>
    <row r="62" s="234" customFormat="1" ht="12.75" hidden="1" x14ac:dyDescent="0.2"/>
    <row r="63" s="234" customFormat="1" ht="12.75" hidden="1" x14ac:dyDescent="0.2"/>
    <row r="64" s="234" customFormat="1" ht="12.75" hidden="1" x14ac:dyDescent="0.2"/>
    <row r="65" s="234" customFormat="1" ht="12.75" hidden="1" x14ac:dyDescent="0.2"/>
    <row r="66" s="234" customFormat="1" ht="12.75" hidden="1" x14ac:dyDescent="0.2"/>
    <row r="67" s="234" customFormat="1" ht="12.75" hidden="1" x14ac:dyDescent="0.2"/>
    <row r="68" s="234" customFormat="1" ht="12.75" hidden="1" x14ac:dyDescent="0.2"/>
    <row r="69" s="234" customFormat="1" ht="12.75" hidden="1" x14ac:dyDescent="0.2"/>
    <row r="70" s="234" customFormat="1" ht="12.75" hidden="1" x14ac:dyDescent="0.2"/>
    <row r="71" s="234" customFormat="1" ht="12.75" hidden="1" x14ac:dyDescent="0.2"/>
    <row r="72" s="234" customFormat="1" ht="12.75" hidden="1" x14ac:dyDescent="0.2"/>
    <row r="73" s="234" customFormat="1" ht="12.75" hidden="1" x14ac:dyDescent="0.2"/>
    <row r="74" s="234" customFormat="1" ht="12.75" hidden="1" x14ac:dyDescent="0.2"/>
    <row r="75" s="234" customFormat="1" ht="12.75" hidden="1" x14ac:dyDescent="0.2"/>
    <row r="76" s="234" customFormat="1" ht="12.75" hidden="1" x14ac:dyDescent="0.2"/>
    <row r="77" s="234" customFormat="1" ht="12.75" hidden="1" x14ac:dyDescent="0.2"/>
    <row r="78" s="234" customFormat="1" ht="12.75" hidden="1" x14ac:dyDescent="0.2"/>
    <row r="79" s="234" customFormat="1" ht="12.75" hidden="1" x14ac:dyDescent="0.2"/>
    <row r="80" s="234" customFormat="1" ht="12.75" hidden="1" x14ac:dyDescent="0.2"/>
    <row r="81" s="234" customFormat="1" ht="12.75" hidden="1" x14ac:dyDescent="0.2"/>
    <row r="82" s="234" customFormat="1" ht="12.75" hidden="1" x14ac:dyDescent="0.2"/>
    <row r="83" s="234" customFormat="1" ht="12.75" hidden="1" x14ac:dyDescent="0.2"/>
    <row r="84" s="234" customFormat="1" ht="12.75" hidden="1" x14ac:dyDescent="0.2"/>
    <row r="85" s="234" customFormat="1" ht="12.75" hidden="1" x14ac:dyDescent="0.2"/>
    <row r="86" s="234" customFormat="1" ht="12.75" hidden="1" x14ac:dyDescent="0.2"/>
    <row r="87" s="234" customFormat="1" ht="12.75" hidden="1" x14ac:dyDescent="0.2"/>
    <row r="88" s="234" customFormat="1" ht="12.75" hidden="1" x14ac:dyDescent="0.2"/>
    <row r="89" s="234" customFormat="1" ht="12.75" hidden="1" x14ac:dyDescent="0.2"/>
    <row r="90" s="234" customFormat="1" ht="12.75" hidden="1" x14ac:dyDescent="0.2"/>
    <row r="91" s="234" customFormat="1" ht="12.75" hidden="1" x14ac:dyDescent="0.2"/>
    <row r="92" s="234" customFormat="1" ht="12.75" hidden="1" x14ac:dyDescent="0.2"/>
    <row r="93" s="234" customFormat="1" ht="12.75" hidden="1" x14ac:dyDescent="0.2"/>
    <row r="94" s="234" customFormat="1" ht="12.75" hidden="1" x14ac:dyDescent="0.2"/>
    <row r="95" s="234" customFormat="1" ht="12.75" hidden="1" x14ac:dyDescent="0.2"/>
    <row r="96" s="234" customFormat="1" ht="12.75" hidden="1" x14ac:dyDescent="0.2"/>
    <row r="97" s="234" customFormat="1" ht="12.75" hidden="1" x14ac:dyDescent="0.2"/>
    <row r="98" s="234" customFormat="1" ht="12.75" hidden="1" x14ac:dyDescent="0.2"/>
    <row r="99" s="234" customFormat="1" ht="12.75" hidden="1" x14ac:dyDescent="0.2"/>
    <row r="100" s="234" customFormat="1" ht="12.75" hidden="1" x14ac:dyDescent="0.2"/>
    <row r="101" s="234" customFormat="1" ht="12.75" hidden="1" x14ac:dyDescent="0.2"/>
    <row r="102" s="234" customFormat="1" ht="12.75" hidden="1" x14ac:dyDescent="0.2"/>
    <row r="103" s="234" customFormat="1" ht="12.75" hidden="1" x14ac:dyDescent="0.2"/>
    <row r="104" s="234" customFormat="1" ht="12.75" hidden="1" x14ac:dyDescent="0.2"/>
    <row r="105" s="234" customFormat="1" ht="12.75" hidden="1" x14ac:dyDescent="0.2"/>
    <row r="106" s="234" customFormat="1" ht="12.75" hidden="1" x14ac:dyDescent="0.2"/>
    <row r="107" s="234" customFormat="1" ht="12.75" hidden="1" x14ac:dyDescent="0.2"/>
    <row r="108" s="234" customFormat="1" ht="12.75" hidden="1" x14ac:dyDescent="0.2"/>
    <row r="109" s="234" customFormat="1" ht="12.75" hidden="1" x14ac:dyDescent="0.2"/>
    <row r="110" s="234" customFormat="1" ht="12.75" hidden="1" x14ac:dyDescent="0.2"/>
    <row r="111" s="234" customFormat="1" ht="12.75" hidden="1" x14ac:dyDescent="0.2"/>
    <row r="112" s="234" customFormat="1" ht="12.75" hidden="1" x14ac:dyDescent="0.2"/>
    <row r="113" s="234" customFormat="1" ht="12.75" hidden="1" x14ac:dyDescent="0.2"/>
    <row r="114" s="234" customFormat="1" ht="12.75" hidden="1" x14ac:dyDescent="0.2"/>
    <row r="115" s="234" customFormat="1" ht="12.75" hidden="1" x14ac:dyDescent="0.2"/>
    <row r="116" s="234" customFormat="1" ht="12.75" hidden="1" x14ac:dyDescent="0.2"/>
    <row r="117" s="234" customFormat="1" ht="12.75" hidden="1" x14ac:dyDescent="0.2"/>
    <row r="118" s="234" customFormat="1" ht="12.75" hidden="1" x14ac:dyDescent="0.2"/>
    <row r="119" s="234" customFormat="1" ht="12.75" hidden="1" x14ac:dyDescent="0.2"/>
    <row r="120" s="234" customFormat="1" ht="12.75" hidden="1" x14ac:dyDescent="0.2"/>
    <row r="121" s="234" customFormat="1" ht="12.75" hidden="1" x14ac:dyDescent="0.2"/>
    <row r="122" s="234" customFormat="1" ht="12.75" hidden="1" x14ac:dyDescent="0.2"/>
    <row r="123" s="234" customFormat="1" ht="12.75" hidden="1" x14ac:dyDescent="0.2"/>
    <row r="124" s="234" customFormat="1" ht="12.75" hidden="1" x14ac:dyDescent="0.2"/>
    <row r="125" s="234" customFormat="1" ht="12.75" hidden="1" x14ac:dyDescent="0.2"/>
    <row r="126" s="234" customFormat="1" ht="12.75" hidden="1" x14ac:dyDescent="0.2"/>
    <row r="127" s="234" customFormat="1" ht="12.75" hidden="1" x14ac:dyDescent="0.2"/>
    <row r="128" s="234" customFormat="1" ht="12.75" hidden="1" x14ac:dyDescent="0.2"/>
    <row r="129" s="234" customFormat="1" ht="12.75" hidden="1" x14ac:dyDescent="0.2"/>
    <row r="130" s="234" customFormat="1" ht="12.75" hidden="1" x14ac:dyDescent="0.2"/>
    <row r="131" s="234" customFormat="1" ht="12.75" hidden="1" x14ac:dyDescent="0.2"/>
    <row r="132" s="234" customFormat="1" ht="12.75" hidden="1" x14ac:dyDescent="0.2"/>
    <row r="133" s="234" customFormat="1" ht="12.75" hidden="1" x14ac:dyDescent="0.2"/>
    <row r="134" s="234" customFormat="1" ht="12.75" hidden="1" x14ac:dyDescent="0.2"/>
    <row r="135" s="234" customFormat="1" ht="12.75" hidden="1" x14ac:dyDescent="0.2"/>
    <row r="136" s="234" customFormat="1" ht="12.75" hidden="1" x14ac:dyDescent="0.2"/>
    <row r="137" s="234" customFormat="1" ht="12.75" hidden="1" x14ac:dyDescent="0.2"/>
    <row r="138" s="234" customFormat="1" ht="12.75" hidden="1" x14ac:dyDescent="0.2"/>
    <row r="139" s="234" customFormat="1" ht="12.75" hidden="1" x14ac:dyDescent="0.2"/>
    <row r="140" s="234" customFormat="1" ht="12.75" hidden="1" x14ac:dyDescent="0.2"/>
    <row r="141" s="234" customFormat="1" ht="12.75" hidden="1" x14ac:dyDescent="0.2"/>
    <row r="142" s="234" customFormat="1" ht="12.75" hidden="1" x14ac:dyDescent="0.2"/>
    <row r="143" s="234" customFormat="1" ht="12.75" hidden="1" x14ac:dyDescent="0.2"/>
    <row r="144" s="234" customFormat="1" ht="12.75" hidden="1" x14ac:dyDescent="0.2"/>
    <row r="145" s="234" customFormat="1" ht="12.75" hidden="1" x14ac:dyDescent="0.2"/>
    <row r="146" s="234" customFormat="1" ht="12.75" hidden="1" x14ac:dyDescent="0.2"/>
    <row r="147" s="234" customFormat="1" ht="12.75" hidden="1" x14ac:dyDescent="0.2"/>
    <row r="148" s="234" customFormat="1" ht="12.75" hidden="1" x14ac:dyDescent="0.2"/>
    <row r="149" s="234" customFormat="1" ht="12.75" hidden="1" x14ac:dyDescent="0.2"/>
    <row r="150" s="234" customFormat="1" ht="12.75" hidden="1" x14ac:dyDescent="0.2"/>
    <row r="151" s="234" customFormat="1" ht="12.75" hidden="1" x14ac:dyDescent="0.2"/>
    <row r="152" s="234" customFormat="1" ht="12.75" hidden="1" x14ac:dyDescent="0.2"/>
    <row r="153" s="234" customFormat="1" ht="12.75" hidden="1" x14ac:dyDescent="0.2"/>
    <row r="154" s="234" customFormat="1" ht="12.75" hidden="1" x14ac:dyDescent="0.2"/>
    <row r="155" s="234" customFormat="1" ht="12.75" hidden="1" x14ac:dyDescent="0.2"/>
    <row r="156" s="234" customFormat="1" ht="12.75" hidden="1" x14ac:dyDescent="0.2"/>
    <row r="157" s="234" customFormat="1" ht="12.75" hidden="1" x14ac:dyDescent="0.2"/>
    <row r="158" s="234" customFormat="1" ht="12.75" hidden="1" x14ac:dyDescent="0.2"/>
    <row r="159" s="234" customFormat="1" ht="12.75" hidden="1" x14ac:dyDescent="0.2"/>
    <row r="160" s="234" customFormat="1" ht="12.75" hidden="1" x14ac:dyDescent="0.2"/>
    <row r="161" s="234" customFormat="1" ht="12.75" hidden="1" x14ac:dyDescent="0.2"/>
    <row r="162" s="234" customFormat="1" ht="12.75" hidden="1" x14ac:dyDescent="0.2"/>
    <row r="163" s="234" customFormat="1" ht="12.75" hidden="1" x14ac:dyDescent="0.2"/>
    <row r="164" s="234" customFormat="1" ht="12.75" hidden="1" x14ac:dyDescent="0.2"/>
    <row r="165" ht="12.6" customHeight="1" x14ac:dyDescent="0.2"/>
  </sheetData>
  <pageMargins left="0.70866141732283472" right="0.70866141732283472" top="0.74803149606299213" bottom="0.74803149606299213" header="0.31496062992125984" footer="0.31496062992125984"/>
  <pageSetup paperSize="9" scale="49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91"/>
  <sheetViews>
    <sheetView zoomScale="80" zoomScaleNormal="80" workbookViewId="0">
      <pane xSplit="5" ySplit="6" topLeftCell="F7" activePane="bottomRight" state="frozen"/>
      <selection pane="topRight" activeCell="B4" sqref="B4"/>
      <selection pane="bottomLeft" activeCell="B4" sqref="B4"/>
      <selection pane="bottomRight"/>
    </sheetView>
  </sheetViews>
  <sheetFormatPr defaultRowHeight="14.25" x14ac:dyDescent="0.2"/>
  <cols>
    <col min="1" max="1" width="9" style="376"/>
    <col min="2" max="2" width="47.875" style="376" bestFit="1" customWidth="1"/>
    <col min="3" max="3" width="122.875" bestFit="1" customWidth="1"/>
    <col min="4" max="4" width="12.625" bestFit="1" customWidth="1"/>
    <col min="5" max="5" width="27" bestFit="1" customWidth="1"/>
    <col min="6" max="9" width="9.125" bestFit="1" customWidth="1"/>
    <col min="10" max="14" width="10.125" bestFit="1" customWidth="1"/>
    <col min="15" max="18" width="10.125" customWidth="1"/>
    <col min="19" max="19" width="10.125" bestFit="1" customWidth="1"/>
  </cols>
  <sheetData>
    <row r="1" spans="1:20" ht="15" x14ac:dyDescent="0.25">
      <c r="A1" s="466" t="s">
        <v>183</v>
      </c>
      <c r="C1" s="398" t="s">
        <v>183</v>
      </c>
      <c r="D1" s="452"/>
      <c r="E1" s="398" t="s">
        <v>184</v>
      </c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</row>
    <row r="2" spans="1:20" ht="15" x14ac:dyDescent="0.25">
      <c r="A2" s="438" t="s">
        <v>89</v>
      </c>
      <c r="B2" s="438" t="s">
        <v>24</v>
      </c>
      <c r="C2" s="438" t="s">
        <v>185</v>
      </c>
      <c r="D2" s="438" t="s">
        <v>186</v>
      </c>
      <c r="E2" s="438" t="s">
        <v>187</v>
      </c>
      <c r="F2" s="438" t="s">
        <v>188</v>
      </c>
      <c r="G2" s="438"/>
      <c r="H2" s="438"/>
      <c r="I2" s="438"/>
      <c r="J2" s="438" t="s">
        <v>189</v>
      </c>
      <c r="K2" s="438" t="s">
        <v>189</v>
      </c>
      <c r="L2" s="438" t="s">
        <v>189</v>
      </c>
      <c r="M2" s="438" t="s">
        <v>189</v>
      </c>
      <c r="N2" s="438"/>
      <c r="O2" s="438"/>
      <c r="P2" s="438"/>
      <c r="Q2" s="438"/>
      <c r="R2" s="438"/>
      <c r="S2" s="438" t="s">
        <v>189</v>
      </c>
      <c r="T2" s="452"/>
    </row>
    <row r="3" spans="1:20" x14ac:dyDescent="0.2">
      <c r="C3" s="376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</row>
    <row r="4" spans="1:20" ht="15" x14ac:dyDescent="0.25">
      <c r="C4" s="376"/>
      <c r="D4" s="452"/>
      <c r="E4" s="452"/>
      <c r="F4" s="438" t="s">
        <v>190</v>
      </c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52"/>
    </row>
    <row r="5" spans="1:20" ht="15" x14ac:dyDescent="0.25">
      <c r="C5" s="376"/>
      <c r="D5" s="452"/>
      <c r="E5" s="452"/>
      <c r="F5" s="438" t="s">
        <v>191</v>
      </c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</row>
    <row r="6" spans="1:20" ht="15" x14ac:dyDescent="0.25">
      <c r="C6" s="376"/>
      <c r="D6" s="452"/>
      <c r="E6" s="452"/>
      <c r="F6" s="438" t="s">
        <v>192</v>
      </c>
      <c r="G6" s="438" t="s">
        <v>193</v>
      </c>
      <c r="H6" s="438" t="s">
        <v>194</v>
      </c>
      <c r="I6" s="438" t="s">
        <v>195</v>
      </c>
      <c r="J6" s="438" t="s">
        <v>196</v>
      </c>
      <c r="K6" s="438" t="s">
        <v>197</v>
      </c>
      <c r="L6" s="438" t="s">
        <v>198</v>
      </c>
      <c r="M6" s="438" t="s">
        <v>94</v>
      </c>
      <c r="N6" s="438" t="s">
        <v>199</v>
      </c>
      <c r="O6" s="438" t="s">
        <v>200</v>
      </c>
      <c r="P6" s="438" t="s">
        <v>201</v>
      </c>
      <c r="Q6" s="438" t="s">
        <v>202</v>
      </c>
      <c r="R6" s="438" t="s">
        <v>203</v>
      </c>
      <c r="S6" s="438" t="s">
        <v>204</v>
      </c>
      <c r="T6" s="438" t="s">
        <v>205</v>
      </c>
    </row>
    <row r="7" spans="1:20" x14ac:dyDescent="0.2">
      <c r="B7" s="376" t="s">
        <v>206</v>
      </c>
      <c r="C7" s="376" t="s">
        <v>207</v>
      </c>
      <c r="D7" s="452" t="s">
        <v>208</v>
      </c>
      <c r="E7" s="452" t="s">
        <v>188</v>
      </c>
      <c r="F7" s="454">
        <v>103.2</v>
      </c>
      <c r="G7" s="454">
        <v>105.5</v>
      </c>
      <c r="H7" s="454">
        <v>107.6</v>
      </c>
      <c r="I7" s="454">
        <v>108.6</v>
      </c>
      <c r="J7" s="454">
        <v>110.4</v>
      </c>
      <c r="K7" s="454">
        <v>119</v>
      </c>
      <c r="L7" s="454">
        <v>128.30000000000001</v>
      </c>
      <c r="M7" s="454">
        <v>132.19999999999999</v>
      </c>
      <c r="N7" s="454">
        <v>135.52578006391337</v>
      </c>
      <c r="O7" s="454">
        <v>138.50746679309398</v>
      </c>
      <c r="P7" s="454">
        <v>141.64715319362401</v>
      </c>
      <c r="Q7" s="454">
        <v>144.99938071750634</v>
      </c>
      <c r="R7" s="454">
        <v>148.189075167835</v>
      </c>
      <c r="S7" s="454" t="s">
        <v>189</v>
      </c>
      <c r="T7" s="454" t="s">
        <v>189</v>
      </c>
    </row>
    <row r="8" spans="1:20" x14ac:dyDescent="0.2">
      <c r="B8" s="376" t="s">
        <v>209</v>
      </c>
      <c r="C8" s="376" t="s">
        <v>210</v>
      </c>
      <c r="D8" s="452" t="s">
        <v>208</v>
      </c>
      <c r="E8" s="452" t="s">
        <v>188</v>
      </c>
      <c r="F8" s="454">
        <v>103.5</v>
      </c>
      <c r="G8" s="454">
        <v>105.9</v>
      </c>
      <c r="H8" s="454">
        <v>107.9</v>
      </c>
      <c r="I8" s="454">
        <v>108.6</v>
      </c>
      <c r="J8" s="454">
        <v>111</v>
      </c>
      <c r="K8" s="454">
        <v>119.7</v>
      </c>
      <c r="L8" s="454">
        <v>129.1</v>
      </c>
      <c r="M8" s="454">
        <v>132.69999999999999</v>
      </c>
      <c r="N8" s="454">
        <v>135.77177335352988</v>
      </c>
      <c r="O8" s="454">
        <v>138.75890195898864</v>
      </c>
      <c r="P8" s="454">
        <v>141.92737827193238</v>
      </c>
      <c r="Q8" s="454">
        <v>145.27439044919433</v>
      </c>
      <c r="R8" s="454">
        <v>148.43382151644283</v>
      </c>
      <c r="S8" s="454" t="s">
        <v>189</v>
      </c>
      <c r="T8" s="454" t="s">
        <v>189</v>
      </c>
    </row>
    <row r="9" spans="1:20" x14ac:dyDescent="0.2">
      <c r="B9" s="376" t="s">
        <v>211</v>
      </c>
      <c r="C9" s="376" t="s">
        <v>212</v>
      </c>
      <c r="D9" s="452" t="s">
        <v>208</v>
      </c>
      <c r="E9" s="452" t="s">
        <v>188</v>
      </c>
      <c r="F9" s="454">
        <v>103.5</v>
      </c>
      <c r="G9" s="454">
        <v>105.9</v>
      </c>
      <c r="H9" s="454">
        <v>107.9</v>
      </c>
      <c r="I9" s="454">
        <v>108.8</v>
      </c>
      <c r="J9" s="454">
        <v>111.4</v>
      </c>
      <c r="K9" s="454">
        <v>120.5</v>
      </c>
      <c r="L9" s="454">
        <v>129.4</v>
      </c>
      <c r="M9" s="454">
        <v>133</v>
      </c>
      <c r="N9" s="454">
        <v>136.0182131463763</v>
      </c>
      <c r="O9" s="454">
        <v>139.01079355978976</v>
      </c>
      <c r="P9" s="454">
        <v>142.20815772844563</v>
      </c>
      <c r="Q9" s="454">
        <v>145.54992177174807</v>
      </c>
      <c r="R9" s="454">
        <v>148.67897208361461</v>
      </c>
      <c r="S9" s="454" t="s">
        <v>189</v>
      </c>
      <c r="T9" s="454" t="s">
        <v>189</v>
      </c>
    </row>
    <row r="10" spans="1:20" x14ac:dyDescent="0.2">
      <c r="B10" s="376" t="s">
        <v>213</v>
      </c>
      <c r="C10" s="376" t="s">
        <v>214</v>
      </c>
      <c r="D10" s="452" t="s">
        <v>208</v>
      </c>
      <c r="E10" s="452" t="s">
        <v>188</v>
      </c>
      <c r="F10" s="454">
        <v>103.5</v>
      </c>
      <c r="G10" s="454">
        <v>105.9</v>
      </c>
      <c r="H10" s="454">
        <v>108</v>
      </c>
      <c r="I10" s="454">
        <v>109.2</v>
      </c>
      <c r="J10" s="454">
        <v>111.4</v>
      </c>
      <c r="K10" s="454">
        <v>121.2</v>
      </c>
      <c r="L10" s="454">
        <v>129</v>
      </c>
      <c r="M10" s="454">
        <v>132.9</v>
      </c>
      <c r="N10" s="454">
        <v>136.26510025290213</v>
      </c>
      <c r="O10" s="454">
        <v>139.26314242407204</v>
      </c>
      <c r="P10" s="454">
        <v>142.48949265990782</v>
      </c>
      <c r="Q10" s="454">
        <v>145.82597567443085</v>
      </c>
      <c r="R10" s="454">
        <v>148.92452753695028</v>
      </c>
      <c r="S10" s="454" t="s">
        <v>189</v>
      </c>
      <c r="T10" s="454" t="s">
        <v>189</v>
      </c>
    </row>
    <row r="11" spans="1:20" x14ac:dyDescent="0.2">
      <c r="B11" s="376" t="s">
        <v>215</v>
      </c>
      <c r="C11" s="376" t="s">
        <v>216</v>
      </c>
      <c r="D11" s="452" t="s">
        <v>208</v>
      </c>
      <c r="E11" s="452" t="s">
        <v>188</v>
      </c>
      <c r="F11" s="454">
        <v>104</v>
      </c>
      <c r="G11" s="454">
        <v>106.5</v>
      </c>
      <c r="H11" s="454">
        <v>108.3</v>
      </c>
      <c r="I11" s="454">
        <v>108.8</v>
      </c>
      <c r="J11" s="454">
        <v>112.1</v>
      </c>
      <c r="K11" s="454">
        <v>121.8</v>
      </c>
      <c r="L11" s="454">
        <v>129.4</v>
      </c>
      <c r="M11" s="454">
        <v>133.4</v>
      </c>
      <c r="N11" s="454">
        <v>136.51243548502788</v>
      </c>
      <c r="O11" s="454">
        <v>139.51594938191437</v>
      </c>
      <c r="P11" s="454">
        <v>142.77138416523275</v>
      </c>
      <c r="Q11" s="454">
        <v>146.10255314838224</v>
      </c>
      <c r="R11" s="454">
        <v>149.17048854515238</v>
      </c>
      <c r="S11" s="454" t="s">
        <v>189</v>
      </c>
      <c r="T11" s="454" t="s">
        <v>189</v>
      </c>
    </row>
    <row r="12" spans="1:20" x14ac:dyDescent="0.2">
      <c r="B12" s="376" t="s">
        <v>217</v>
      </c>
      <c r="C12" s="376" t="s">
        <v>218</v>
      </c>
      <c r="D12" s="452" t="s">
        <v>208</v>
      </c>
      <c r="E12" s="452" t="s">
        <v>188</v>
      </c>
      <c r="F12" s="454">
        <v>104.3</v>
      </c>
      <c r="G12" s="454">
        <v>106.6</v>
      </c>
      <c r="H12" s="454">
        <v>108.4</v>
      </c>
      <c r="I12" s="454">
        <v>109.2</v>
      </c>
      <c r="J12" s="454">
        <v>112.4</v>
      </c>
      <c r="K12" s="454">
        <v>122.3</v>
      </c>
      <c r="L12" s="454">
        <v>130.1</v>
      </c>
      <c r="M12" s="454">
        <v>133.6856451702761</v>
      </c>
      <c r="N12" s="454">
        <v>136.76021965614783</v>
      </c>
      <c r="O12" s="454">
        <v>139.76921526490241</v>
      </c>
      <c r="P12" s="454">
        <v>143.05383334550822</v>
      </c>
      <c r="Q12" s="454">
        <v>146.37965518662159</v>
      </c>
      <c r="R12" s="454">
        <v>149.41685577802784</v>
      </c>
      <c r="S12" s="454" t="s">
        <v>189</v>
      </c>
      <c r="T12" s="454" t="s">
        <v>189</v>
      </c>
    </row>
    <row r="13" spans="1:20" x14ac:dyDescent="0.2">
      <c r="B13" s="376" t="s">
        <v>219</v>
      </c>
      <c r="C13" s="376" t="s">
        <v>220</v>
      </c>
      <c r="D13" s="452" t="s">
        <v>208</v>
      </c>
      <c r="E13" s="452" t="s">
        <v>188</v>
      </c>
      <c r="F13" s="454">
        <v>104.4</v>
      </c>
      <c r="G13" s="454">
        <v>106.7</v>
      </c>
      <c r="H13" s="454">
        <v>108.3</v>
      </c>
      <c r="I13" s="454">
        <v>109.2</v>
      </c>
      <c r="J13" s="454">
        <v>113.4</v>
      </c>
      <c r="K13" s="454">
        <v>124.3</v>
      </c>
      <c r="L13" s="454">
        <v>130.19999999999999</v>
      </c>
      <c r="M13" s="454">
        <v>133.97190198345552</v>
      </c>
      <c r="N13" s="454">
        <v>137.00845358113261</v>
      </c>
      <c r="O13" s="454">
        <v>140.02294090613151</v>
      </c>
      <c r="P13" s="454">
        <v>143.33684130400042</v>
      </c>
      <c r="Q13" s="454">
        <v>146.65728278405169</v>
      </c>
      <c r="R13" s="454">
        <v>149.66362990648986</v>
      </c>
      <c r="S13" s="454" t="s">
        <v>189</v>
      </c>
      <c r="T13" s="454" t="s">
        <v>189</v>
      </c>
    </row>
    <row r="14" spans="1:20" x14ac:dyDescent="0.2">
      <c r="B14" s="376" t="s">
        <v>221</v>
      </c>
      <c r="C14" s="376" t="s">
        <v>222</v>
      </c>
      <c r="D14" s="452" t="s">
        <v>208</v>
      </c>
      <c r="E14" s="452" t="s">
        <v>188</v>
      </c>
      <c r="F14" s="454">
        <v>104.7</v>
      </c>
      <c r="G14" s="454">
        <v>106.9</v>
      </c>
      <c r="H14" s="454">
        <v>108.5</v>
      </c>
      <c r="I14" s="454">
        <v>109.1</v>
      </c>
      <c r="J14" s="454">
        <v>114.1</v>
      </c>
      <c r="K14" s="454">
        <v>124.8</v>
      </c>
      <c r="L14" s="454">
        <v>130</v>
      </c>
      <c r="M14" s="454">
        <v>134.25877174922974</v>
      </c>
      <c r="N14" s="454">
        <v>137.25713807633196</v>
      </c>
      <c r="O14" s="454">
        <v>140.2771271402093</v>
      </c>
      <c r="P14" s="454">
        <v>143.62040914615804</v>
      </c>
      <c r="Q14" s="454">
        <v>146.93543693746221</v>
      </c>
      <c r="R14" s="454">
        <v>149.9108116025597</v>
      </c>
      <c r="S14" s="454" t="s">
        <v>189</v>
      </c>
      <c r="T14" s="454" t="s">
        <v>189</v>
      </c>
    </row>
    <row r="15" spans="1:20" x14ac:dyDescent="0.2">
      <c r="B15" s="376" t="s">
        <v>223</v>
      </c>
      <c r="C15" s="376" t="s">
        <v>224</v>
      </c>
      <c r="D15" s="452" t="s">
        <v>208</v>
      </c>
      <c r="E15" s="452" t="s">
        <v>188</v>
      </c>
      <c r="F15" s="454">
        <v>105</v>
      </c>
      <c r="G15" s="454">
        <v>107.1</v>
      </c>
      <c r="H15" s="454">
        <v>108.5</v>
      </c>
      <c r="I15" s="454">
        <v>109.4</v>
      </c>
      <c r="J15" s="454">
        <v>114.7</v>
      </c>
      <c r="K15" s="454">
        <v>125.3</v>
      </c>
      <c r="L15" s="454">
        <v>130.5</v>
      </c>
      <c r="M15" s="454">
        <v>134.54625578009458</v>
      </c>
      <c r="N15" s="454">
        <v>137.50627395957733</v>
      </c>
      <c r="O15" s="454">
        <v>140.53177480325849</v>
      </c>
      <c r="P15" s="454">
        <v>143.9045379796168</v>
      </c>
      <c r="Q15" s="454">
        <v>147.21411864553346</v>
      </c>
      <c r="R15" s="454">
        <v>150.15840153936853</v>
      </c>
      <c r="S15" s="454" t="s">
        <v>189</v>
      </c>
      <c r="T15" s="454" t="s">
        <v>189</v>
      </c>
    </row>
    <row r="16" spans="1:20" x14ac:dyDescent="0.2">
      <c r="B16" s="376" t="s">
        <v>225</v>
      </c>
      <c r="C16" s="376" t="s">
        <v>226</v>
      </c>
      <c r="D16" s="452" t="s">
        <v>208</v>
      </c>
      <c r="E16" s="452" t="s">
        <v>188</v>
      </c>
      <c r="F16" s="454">
        <v>104.5</v>
      </c>
      <c r="G16" s="454">
        <v>106.4</v>
      </c>
      <c r="H16" s="454">
        <v>108.3</v>
      </c>
      <c r="I16" s="454">
        <v>109.3</v>
      </c>
      <c r="J16" s="454">
        <v>114.6</v>
      </c>
      <c r="K16" s="454">
        <v>124.8</v>
      </c>
      <c r="L16" s="454">
        <v>130</v>
      </c>
      <c r="M16" s="454">
        <v>134.79047113195841</v>
      </c>
      <c r="N16" s="454">
        <v>137.75589164160618</v>
      </c>
      <c r="O16" s="454">
        <v>140.80979329294337</v>
      </c>
      <c r="P16" s="454">
        <v>144.17747120307351</v>
      </c>
      <c r="Q16" s="454">
        <v>147.45725477389655</v>
      </c>
      <c r="R16" s="454">
        <v>150.40640034767716</v>
      </c>
      <c r="S16" s="454" t="s">
        <v>189</v>
      </c>
      <c r="T16" s="454" t="s">
        <v>189</v>
      </c>
    </row>
    <row r="17" spans="1:20" x14ac:dyDescent="0.2">
      <c r="B17" s="376" t="s">
        <v>227</v>
      </c>
      <c r="C17" s="376" t="s">
        <v>228</v>
      </c>
      <c r="D17" s="452" t="s">
        <v>208</v>
      </c>
      <c r="E17" s="452" t="s">
        <v>188</v>
      </c>
      <c r="F17" s="454">
        <v>104.9</v>
      </c>
      <c r="G17" s="454">
        <v>106.8</v>
      </c>
      <c r="H17" s="454">
        <v>108.6</v>
      </c>
      <c r="I17" s="454">
        <v>109.4</v>
      </c>
      <c r="J17" s="454">
        <v>115.4</v>
      </c>
      <c r="K17" s="454">
        <v>126</v>
      </c>
      <c r="L17" s="454">
        <v>130.80000000000001</v>
      </c>
      <c r="M17" s="454">
        <v>135.03512975991148</v>
      </c>
      <c r="N17" s="454">
        <v>138.00596245922944</v>
      </c>
      <c r="O17" s="454">
        <v>141.08836179546853</v>
      </c>
      <c r="P17" s="454">
        <v>144.45092207903454</v>
      </c>
      <c r="Q17" s="454">
        <v>147.70079246141347</v>
      </c>
      <c r="R17" s="454">
        <v>150.65480874618052</v>
      </c>
      <c r="S17" s="454" t="s">
        <v>189</v>
      </c>
      <c r="T17" s="454" t="s">
        <v>189</v>
      </c>
    </row>
    <row r="18" spans="1:20" x14ac:dyDescent="0.2">
      <c r="B18" s="376" t="s">
        <v>229</v>
      </c>
      <c r="C18" s="376" t="s">
        <v>230</v>
      </c>
      <c r="D18" s="452" t="s">
        <v>208</v>
      </c>
      <c r="E18" s="452" t="s">
        <v>188</v>
      </c>
      <c r="F18" s="454">
        <v>105.1</v>
      </c>
      <c r="G18" s="454">
        <v>107</v>
      </c>
      <c r="H18" s="454">
        <v>108.6</v>
      </c>
      <c r="I18" s="454">
        <v>109.7</v>
      </c>
      <c r="J18" s="454">
        <v>116.5</v>
      </c>
      <c r="K18" s="454">
        <v>126.8</v>
      </c>
      <c r="L18" s="454">
        <v>131.6</v>
      </c>
      <c r="M18" s="454">
        <v>135.28023246854571</v>
      </c>
      <c r="N18" s="454">
        <v>138.25648723503247</v>
      </c>
      <c r="O18" s="454">
        <v>141.36748139894189</v>
      </c>
      <c r="P18" s="454">
        <v>144.72489158929355</v>
      </c>
      <c r="Q18" s="454">
        <v>147.94473237129193</v>
      </c>
      <c r="R18" s="454">
        <v>150.90362741135007</v>
      </c>
      <c r="S18" s="454" t="s">
        <v>189</v>
      </c>
      <c r="T18" s="454" t="s">
        <v>189</v>
      </c>
    </row>
    <row r="19" spans="1:20" x14ac:dyDescent="0.2">
      <c r="B19" s="376" t="s">
        <v>231</v>
      </c>
      <c r="C19" s="376" t="s">
        <v>232</v>
      </c>
      <c r="D19" s="452" t="s">
        <v>233</v>
      </c>
      <c r="E19" s="452" t="s">
        <v>188</v>
      </c>
      <c r="F19" s="454"/>
      <c r="G19" s="454"/>
      <c r="H19" s="454"/>
      <c r="I19" s="454"/>
      <c r="J19" s="454"/>
      <c r="K19" s="454"/>
      <c r="L19" s="454"/>
      <c r="M19" s="454"/>
      <c r="N19" s="454"/>
      <c r="O19" s="454"/>
      <c r="P19" s="454"/>
      <c r="Q19" s="454"/>
      <c r="R19" s="454"/>
      <c r="S19" s="454"/>
      <c r="T19" s="454"/>
    </row>
    <row r="20" spans="1:20" x14ac:dyDescent="0.2">
      <c r="B20" s="376" t="s">
        <v>234</v>
      </c>
      <c r="C20" s="376" t="s">
        <v>235</v>
      </c>
      <c r="D20" s="452" t="s">
        <v>233</v>
      </c>
      <c r="E20" s="452" t="s">
        <v>188</v>
      </c>
      <c r="F20" s="454"/>
      <c r="G20" s="454"/>
      <c r="H20" s="454"/>
      <c r="I20" s="454"/>
      <c r="J20" s="454"/>
      <c r="K20" s="454"/>
      <c r="L20" s="454"/>
      <c r="M20" s="454"/>
      <c r="N20" s="454"/>
      <c r="O20" s="454"/>
      <c r="P20" s="454"/>
      <c r="Q20" s="454"/>
      <c r="R20" s="454"/>
      <c r="S20" s="454"/>
      <c r="T20" s="454"/>
    </row>
    <row r="21" spans="1:20" x14ac:dyDescent="0.2">
      <c r="B21" s="376" t="s">
        <v>236</v>
      </c>
      <c r="C21" s="376" t="s">
        <v>237</v>
      </c>
      <c r="D21" s="452" t="s">
        <v>233</v>
      </c>
      <c r="E21" s="452" t="s">
        <v>188</v>
      </c>
      <c r="F21" s="454"/>
      <c r="G21" s="454"/>
      <c r="H21" s="454"/>
      <c r="I21" s="454"/>
      <c r="J21" s="454"/>
      <c r="K21" s="454"/>
      <c r="L21" s="454"/>
      <c r="M21" s="454"/>
      <c r="N21" s="454"/>
      <c r="O21" s="454"/>
      <c r="P21" s="454"/>
      <c r="Q21" s="454"/>
      <c r="R21" s="454"/>
      <c r="S21" s="454"/>
      <c r="T21" s="454"/>
    </row>
    <row r="22" spans="1:20" x14ac:dyDescent="0.2">
      <c r="B22" s="376" t="s">
        <v>238</v>
      </c>
      <c r="C22" s="376" t="s">
        <v>239</v>
      </c>
      <c r="D22" s="452" t="s">
        <v>233</v>
      </c>
      <c r="E22" s="452" t="s">
        <v>188</v>
      </c>
      <c r="F22" s="454"/>
      <c r="G22" s="454"/>
      <c r="H22" s="454"/>
      <c r="I22" s="454"/>
      <c r="J22" s="454"/>
      <c r="K22" s="454"/>
      <c r="L22" s="454"/>
      <c r="M22" s="454"/>
      <c r="N22" s="454"/>
      <c r="O22" s="454"/>
      <c r="P22" s="454"/>
      <c r="Q22" s="454"/>
      <c r="R22" s="454"/>
      <c r="S22" s="454"/>
      <c r="T22" s="454"/>
    </row>
    <row r="23" spans="1:20" x14ac:dyDescent="0.2">
      <c r="B23" s="376" t="s">
        <v>240</v>
      </c>
      <c r="C23" s="376" t="s">
        <v>241</v>
      </c>
      <c r="D23" s="452" t="s">
        <v>233</v>
      </c>
      <c r="E23" s="452" t="s">
        <v>188</v>
      </c>
      <c r="F23" s="454"/>
      <c r="G23" s="454"/>
      <c r="H23" s="454"/>
      <c r="I23" s="454"/>
      <c r="J23" s="454"/>
      <c r="K23" s="454"/>
      <c r="L23" s="454"/>
      <c r="M23" s="454"/>
      <c r="N23" s="454"/>
      <c r="O23" s="454"/>
      <c r="P23" s="454"/>
      <c r="Q23" s="454"/>
      <c r="R23" s="454"/>
      <c r="S23" s="454"/>
      <c r="T23" s="454"/>
    </row>
    <row r="24" spans="1:20" x14ac:dyDescent="0.2">
      <c r="B24" s="376" t="s">
        <v>242</v>
      </c>
      <c r="C24" s="376" t="s">
        <v>243</v>
      </c>
      <c r="D24" s="452" t="s">
        <v>233</v>
      </c>
      <c r="E24" s="452" t="s">
        <v>188</v>
      </c>
      <c r="F24" s="454"/>
      <c r="G24" s="454"/>
      <c r="H24" s="454"/>
      <c r="I24" s="454"/>
      <c r="J24" s="454"/>
      <c r="K24" s="454"/>
      <c r="L24" s="454"/>
      <c r="M24" s="454"/>
      <c r="N24" s="454"/>
      <c r="O24" s="454"/>
      <c r="P24" s="454"/>
      <c r="Q24" s="454"/>
      <c r="R24" s="454"/>
      <c r="S24" s="454"/>
      <c r="T24" s="454"/>
    </row>
    <row r="25" spans="1:20" s="453" customFormat="1" x14ac:dyDescent="0.2">
      <c r="A25" s="449"/>
      <c r="B25" s="449" t="s">
        <v>244</v>
      </c>
      <c r="C25" s="449" t="s">
        <v>245</v>
      </c>
      <c r="D25" s="449" t="s">
        <v>233</v>
      </c>
      <c r="E25" s="449" t="s">
        <v>188</v>
      </c>
      <c r="F25" s="456"/>
      <c r="G25" s="456"/>
      <c r="H25" s="456"/>
      <c r="I25" s="456"/>
      <c r="J25" s="456"/>
      <c r="K25" s="456"/>
      <c r="L25" s="456"/>
      <c r="M25" s="456"/>
      <c r="N25" s="456"/>
      <c r="O25" s="456"/>
      <c r="P25" s="456"/>
      <c r="Q25" s="456"/>
      <c r="R25" s="456"/>
      <c r="S25" s="456"/>
      <c r="T25" s="456"/>
    </row>
    <row r="26" spans="1:20" x14ac:dyDescent="0.2">
      <c r="B26" s="376" t="s">
        <v>246</v>
      </c>
      <c r="C26" s="376" t="s">
        <v>247</v>
      </c>
      <c r="D26" s="452" t="s">
        <v>233</v>
      </c>
      <c r="E26" s="452" t="s">
        <v>188</v>
      </c>
      <c r="F26" s="454"/>
      <c r="G26" s="454"/>
      <c r="H26" s="454"/>
      <c r="I26" s="454"/>
      <c r="J26" s="454"/>
      <c r="K26" s="454"/>
      <c r="L26" s="454"/>
      <c r="M26" s="454"/>
      <c r="N26" s="454"/>
      <c r="O26" s="454"/>
      <c r="P26" s="454"/>
      <c r="Q26" s="454"/>
      <c r="R26" s="454"/>
      <c r="S26" s="454"/>
      <c r="T26" s="456"/>
    </row>
    <row r="27" spans="1:20" s="453" customFormat="1" x14ac:dyDescent="0.2">
      <c r="A27" s="449"/>
      <c r="B27" s="449" t="s">
        <v>248</v>
      </c>
      <c r="C27" s="449" t="s">
        <v>249</v>
      </c>
      <c r="D27" s="449" t="s">
        <v>250</v>
      </c>
      <c r="E27" s="449" t="s">
        <v>188</v>
      </c>
      <c r="F27" s="456"/>
      <c r="G27" s="456"/>
      <c r="H27" s="456"/>
      <c r="I27" s="456"/>
      <c r="J27" s="456"/>
      <c r="K27" s="456"/>
      <c r="L27" s="456"/>
      <c r="M27" s="456"/>
      <c r="N27" s="456"/>
      <c r="O27" s="456"/>
      <c r="P27" s="456"/>
      <c r="Q27" s="456"/>
      <c r="R27" s="456"/>
      <c r="S27" s="456"/>
      <c r="T27" s="456"/>
    </row>
    <row r="28" spans="1:20" x14ac:dyDescent="0.2">
      <c r="B28" s="376" t="s">
        <v>251</v>
      </c>
      <c r="C28" s="376" t="s">
        <v>252</v>
      </c>
      <c r="D28" s="452" t="s">
        <v>250</v>
      </c>
      <c r="E28" s="452" t="s">
        <v>188</v>
      </c>
      <c r="F28" s="454"/>
      <c r="G28" s="454"/>
      <c r="H28" s="454"/>
      <c r="I28" s="454"/>
      <c r="J28" s="454"/>
      <c r="K28" s="454"/>
      <c r="L28" s="454"/>
      <c r="M28" s="454"/>
      <c r="N28" s="454"/>
      <c r="O28" s="454"/>
      <c r="P28" s="454"/>
      <c r="Q28" s="454"/>
      <c r="R28" s="454"/>
      <c r="S28" s="454"/>
      <c r="T28" s="454"/>
    </row>
    <row r="29" spans="1:20" x14ac:dyDescent="0.2">
      <c r="B29" s="376" t="s">
        <v>253</v>
      </c>
      <c r="C29" s="376" t="s">
        <v>254</v>
      </c>
      <c r="D29" s="452" t="s">
        <v>233</v>
      </c>
      <c r="E29" s="452" t="s">
        <v>188</v>
      </c>
      <c r="F29" s="454"/>
      <c r="G29" s="454"/>
      <c r="H29" s="454"/>
      <c r="I29" s="454"/>
      <c r="J29" s="454"/>
      <c r="K29" s="454"/>
      <c r="L29" s="454"/>
      <c r="M29" s="454"/>
      <c r="N29" s="454"/>
      <c r="O29" s="454"/>
      <c r="P29" s="454"/>
      <c r="Q29" s="454"/>
      <c r="R29" s="454"/>
      <c r="S29" s="454"/>
      <c r="T29" s="454"/>
    </row>
    <row r="30" spans="1:20" s="453" customFormat="1" x14ac:dyDescent="0.2">
      <c r="A30" s="449"/>
      <c r="B30" s="449" t="s">
        <v>255</v>
      </c>
      <c r="C30" s="449" t="s">
        <v>256</v>
      </c>
      <c r="D30" s="449" t="s">
        <v>208</v>
      </c>
      <c r="E30" s="449" t="s">
        <v>188</v>
      </c>
      <c r="F30" s="456"/>
      <c r="G30" s="456"/>
      <c r="H30" s="456"/>
      <c r="I30" s="456"/>
      <c r="J30" s="456"/>
      <c r="K30" s="456"/>
      <c r="L30" s="456"/>
      <c r="M30" s="456"/>
      <c r="N30" s="456"/>
      <c r="O30" s="456"/>
      <c r="P30" s="456"/>
      <c r="Q30" s="456"/>
      <c r="R30" s="456"/>
      <c r="S30" s="456"/>
      <c r="T30" s="456"/>
    </row>
    <row r="31" spans="1:20" s="453" customFormat="1" x14ac:dyDescent="0.2">
      <c r="A31" s="449"/>
      <c r="B31" s="449" t="s">
        <v>257</v>
      </c>
      <c r="C31" s="449" t="s">
        <v>258</v>
      </c>
      <c r="D31" s="449" t="s">
        <v>250</v>
      </c>
      <c r="E31" s="449" t="s">
        <v>188</v>
      </c>
      <c r="F31" s="456"/>
      <c r="G31" s="456"/>
      <c r="H31" s="456"/>
      <c r="I31" s="456"/>
      <c r="J31" s="456"/>
      <c r="K31" s="456"/>
      <c r="L31" s="456"/>
      <c r="M31" s="456"/>
      <c r="N31" s="456"/>
      <c r="O31" s="456"/>
      <c r="P31" s="456"/>
      <c r="Q31" s="456"/>
      <c r="R31" s="456"/>
      <c r="S31" s="456"/>
      <c r="T31" s="456"/>
    </row>
    <row r="32" spans="1:20" x14ac:dyDescent="0.2">
      <c r="B32" s="376" t="s">
        <v>259</v>
      </c>
      <c r="C32" s="376" t="s">
        <v>260</v>
      </c>
      <c r="D32" s="452" t="s">
        <v>250</v>
      </c>
      <c r="E32" s="452" t="s">
        <v>188</v>
      </c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54"/>
      <c r="R32" s="454"/>
      <c r="S32" s="454"/>
      <c r="T32" s="454"/>
    </row>
    <row r="33" spans="1:20" x14ac:dyDescent="0.2">
      <c r="B33" s="376" t="s">
        <v>261</v>
      </c>
      <c r="C33" s="376" t="s">
        <v>262</v>
      </c>
      <c r="D33" s="452" t="s">
        <v>233</v>
      </c>
      <c r="E33" s="452" t="s">
        <v>188</v>
      </c>
      <c r="F33" s="454"/>
      <c r="G33" s="454"/>
      <c r="H33" s="454"/>
      <c r="I33" s="454"/>
      <c r="J33" s="454"/>
      <c r="K33" s="454"/>
      <c r="L33" s="454"/>
      <c r="M33" s="454"/>
      <c r="N33" s="454"/>
      <c r="O33" s="454"/>
      <c r="P33" s="454"/>
      <c r="Q33" s="454"/>
      <c r="R33" s="454"/>
      <c r="S33" s="454"/>
      <c r="T33" s="454"/>
    </row>
    <row r="34" spans="1:20" s="453" customFormat="1" x14ac:dyDescent="0.2">
      <c r="A34" s="449"/>
      <c r="B34" s="449" t="s">
        <v>263</v>
      </c>
      <c r="C34" s="449" t="s">
        <v>264</v>
      </c>
      <c r="D34" s="449" t="s">
        <v>208</v>
      </c>
      <c r="E34" s="449" t="s">
        <v>188</v>
      </c>
      <c r="F34" s="456"/>
      <c r="G34" s="456"/>
      <c r="H34" s="456"/>
      <c r="I34" s="456"/>
      <c r="J34" s="456"/>
      <c r="K34" s="456"/>
      <c r="L34" s="456"/>
      <c r="M34" s="456"/>
      <c r="N34" s="456"/>
      <c r="O34" s="456"/>
      <c r="P34" s="456"/>
      <c r="Q34" s="456"/>
      <c r="R34" s="456"/>
      <c r="S34" s="456"/>
      <c r="T34" s="456"/>
    </row>
    <row r="35" spans="1:20" s="453" customFormat="1" x14ac:dyDescent="0.2">
      <c r="A35" s="449"/>
      <c r="B35" s="449" t="s">
        <v>265</v>
      </c>
      <c r="C35" s="449" t="s">
        <v>266</v>
      </c>
      <c r="D35" s="449" t="s">
        <v>250</v>
      </c>
      <c r="E35" s="449" t="s">
        <v>188</v>
      </c>
      <c r="F35" s="456"/>
      <c r="G35" s="456"/>
      <c r="H35" s="456"/>
      <c r="I35" s="456"/>
      <c r="J35" s="456"/>
      <c r="K35" s="456"/>
      <c r="L35" s="456"/>
      <c r="M35" s="456"/>
      <c r="N35" s="456"/>
      <c r="O35" s="456"/>
      <c r="P35" s="456"/>
      <c r="Q35" s="456"/>
      <c r="R35" s="456"/>
      <c r="S35" s="456"/>
      <c r="T35" s="456"/>
    </row>
    <row r="36" spans="1:20" x14ac:dyDescent="0.2">
      <c r="B36" s="376" t="s">
        <v>267</v>
      </c>
      <c r="C36" s="376" t="s">
        <v>268</v>
      </c>
      <c r="D36" s="452" t="s">
        <v>250</v>
      </c>
      <c r="E36" s="452" t="s">
        <v>188</v>
      </c>
      <c r="F36" s="454"/>
      <c r="G36" s="454"/>
      <c r="H36" s="454"/>
      <c r="I36" s="454"/>
      <c r="J36" s="454"/>
      <c r="K36" s="454"/>
      <c r="L36" s="454"/>
      <c r="M36" s="454"/>
      <c r="N36" s="454"/>
      <c r="O36" s="454"/>
      <c r="P36" s="454"/>
      <c r="Q36" s="454"/>
      <c r="R36" s="454"/>
      <c r="S36" s="454"/>
      <c r="T36" s="454"/>
    </row>
    <row r="37" spans="1:20" x14ac:dyDescent="0.2">
      <c r="B37" s="376" t="s">
        <v>269</v>
      </c>
      <c r="C37" s="376" t="s">
        <v>270</v>
      </c>
      <c r="D37" s="452" t="s">
        <v>233</v>
      </c>
      <c r="E37" s="452" t="s">
        <v>188</v>
      </c>
      <c r="F37" s="454"/>
      <c r="G37" s="454"/>
      <c r="H37" s="454"/>
      <c r="I37" s="454"/>
      <c r="J37" s="454"/>
      <c r="K37" s="454"/>
      <c r="L37" s="454"/>
      <c r="M37" s="454"/>
      <c r="N37" s="454"/>
      <c r="O37" s="454"/>
      <c r="P37" s="454"/>
      <c r="Q37" s="454"/>
      <c r="R37" s="454"/>
      <c r="S37" s="454"/>
      <c r="T37" s="454"/>
    </row>
    <row r="38" spans="1:20" s="453" customFormat="1" x14ac:dyDescent="0.2">
      <c r="A38" s="449"/>
      <c r="B38" s="449" t="s">
        <v>271</v>
      </c>
      <c r="C38" s="449" t="s">
        <v>272</v>
      </c>
      <c r="D38" s="449" t="s">
        <v>208</v>
      </c>
      <c r="E38" s="449" t="s">
        <v>188</v>
      </c>
      <c r="F38" s="456"/>
      <c r="G38" s="456"/>
      <c r="H38" s="456"/>
      <c r="I38" s="456"/>
      <c r="J38" s="456"/>
      <c r="K38" s="456"/>
      <c r="L38" s="456"/>
      <c r="M38" s="456"/>
      <c r="N38" s="456"/>
      <c r="O38" s="456"/>
      <c r="P38" s="456"/>
      <c r="Q38" s="456"/>
      <c r="R38" s="456"/>
      <c r="S38" s="456"/>
      <c r="T38" s="456"/>
    </row>
    <row r="39" spans="1:20" x14ac:dyDescent="0.2">
      <c r="B39" s="376" t="s">
        <v>273</v>
      </c>
      <c r="C39" s="376" t="s">
        <v>274</v>
      </c>
      <c r="D39" s="452" t="s">
        <v>275</v>
      </c>
      <c r="E39" s="452" t="s">
        <v>188</v>
      </c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54"/>
      <c r="Q39" s="454"/>
      <c r="R39" s="454"/>
      <c r="S39" s="454"/>
      <c r="T39" s="454"/>
    </row>
    <row r="40" spans="1:20" x14ac:dyDescent="0.2">
      <c r="B40" s="376" t="s">
        <v>276</v>
      </c>
      <c r="C40" s="376" t="s">
        <v>277</v>
      </c>
      <c r="D40" s="452" t="s">
        <v>278</v>
      </c>
      <c r="E40" s="452" t="s">
        <v>188</v>
      </c>
      <c r="F40" s="454"/>
      <c r="G40" s="454"/>
      <c r="H40" s="454"/>
      <c r="I40" s="454"/>
      <c r="J40" s="454"/>
      <c r="K40" s="454"/>
      <c r="L40" s="454"/>
      <c r="M40" s="454"/>
      <c r="N40" s="454"/>
      <c r="O40" s="454"/>
      <c r="P40" s="454"/>
      <c r="Q40" s="454"/>
      <c r="R40" s="454"/>
      <c r="S40" s="454"/>
      <c r="T40" s="454"/>
    </row>
    <row r="41" spans="1:20" x14ac:dyDescent="0.2">
      <c r="B41" s="376" t="s">
        <v>279</v>
      </c>
      <c r="C41" s="376" t="s">
        <v>280</v>
      </c>
      <c r="D41" s="452" t="s">
        <v>250</v>
      </c>
      <c r="E41" s="452" t="s">
        <v>188</v>
      </c>
      <c r="F41" s="454"/>
      <c r="G41" s="454"/>
      <c r="H41" s="454"/>
      <c r="I41" s="454"/>
      <c r="J41" s="454"/>
      <c r="K41" s="454"/>
      <c r="L41" s="454"/>
      <c r="M41" s="454"/>
      <c r="N41" s="454"/>
      <c r="O41" s="454"/>
      <c r="P41" s="454"/>
      <c r="Q41" s="454"/>
      <c r="R41" s="454"/>
      <c r="S41" s="454"/>
      <c r="T41" s="454"/>
    </row>
    <row r="42" spans="1:20" x14ac:dyDescent="0.2">
      <c r="B42" s="376" t="s">
        <v>281</v>
      </c>
      <c r="C42" s="376" t="s">
        <v>282</v>
      </c>
      <c r="D42" s="452" t="s">
        <v>250</v>
      </c>
      <c r="E42" s="452" t="s">
        <v>188</v>
      </c>
      <c r="F42" s="454"/>
      <c r="G42" s="454"/>
      <c r="H42" s="454"/>
      <c r="I42" s="454"/>
      <c r="J42" s="454"/>
      <c r="K42" s="454"/>
      <c r="L42" s="454"/>
      <c r="M42" s="454"/>
      <c r="N42" s="454"/>
      <c r="O42" s="454"/>
      <c r="P42" s="454"/>
      <c r="Q42" s="454"/>
      <c r="R42" s="454"/>
      <c r="S42" s="454"/>
      <c r="T42" s="454"/>
    </row>
    <row r="43" spans="1:20" s="453" customFormat="1" x14ac:dyDescent="0.2">
      <c r="A43" s="449"/>
      <c r="B43" s="449" t="s">
        <v>283</v>
      </c>
      <c r="C43" s="449" t="s">
        <v>284</v>
      </c>
      <c r="D43" s="449" t="s">
        <v>250</v>
      </c>
      <c r="E43" s="449" t="s">
        <v>188</v>
      </c>
      <c r="F43" s="456"/>
      <c r="G43" s="456"/>
      <c r="H43" s="456"/>
      <c r="I43" s="456"/>
      <c r="J43" s="456"/>
      <c r="K43" s="456"/>
      <c r="L43" s="456"/>
      <c r="M43" s="456"/>
      <c r="N43" s="456"/>
      <c r="O43" s="456"/>
      <c r="P43" s="456"/>
      <c r="Q43" s="456"/>
      <c r="R43" s="456"/>
      <c r="S43" s="456"/>
      <c r="T43" s="456"/>
    </row>
    <row r="44" spans="1:20" s="453" customFormat="1" x14ac:dyDescent="0.2">
      <c r="A44" s="449"/>
      <c r="B44" s="449" t="s">
        <v>285</v>
      </c>
      <c r="C44" s="449" t="s">
        <v>286</v>
      </c>
      <c r="D44" s="449" t="s">
        <v>250</v>
      </c>
      <c r="E44" s="449" t="s">
        <v>188</v>
      </c>
      <c r="F44" s="456"/>
      <c r="G44" s="456"/>
      <c r="H44" s="456"/>
      <c r="I44" s="456"/>
      <c r="J44" s="456"/>
      <c r="K44" s="456"/>
      <c r="L44" s="456"/>
      <c r="M44" s="456"/>
      <c r="N44" s="456"/>
      <c r="O44" s="456"/>
      <c r="P44" s="456"/>
      <c r="Q44" s="456"/>
      <c r="R44" s="456"/>
      <c r="S44" s="456"/>
      <c r="T44" s="456"/>
    </row>
    <row r="45" spans="1:20" x14ac:dyDescent="0.2">
      <c r="B45" s="376" t="s">
        <v>287</v>
      </c>
      <c r="C45" s="376" t="s">
        <v>288</v>
      </c>
      <c r="D45" s="452" t="s">
        <v>250</v>
      </c>
      <c r="E45" s="452" t="s">
        <v>188</v>
      </c>
      <c r="F45" s="454"/>
      <c r="G45" s="454"/>
      <c r="H45" s="454"/>
      <c r="I45" s="454"/>
      <c r="J45" s="454"/>
      <c r="K45" s="454"/>
      <c r="L45" s="454"/>
      <c r="M45" s="454"/>
      <c r="N45" s="454"/>
      <c r="O45" s="454"/>
      <c r="P45" s="454"/>
      <c r="Q45" s="454"/>
      <c r="R45" s="454"/>
      <c r="S45" s="454"/>
      <c r="T45" s="454"/>
    </row>
    <row r="46" spans="1:20" x14ac:dyDescent="0.2">
      <c r="B46" s="376" t="s">
        <v>289</v>
      </c>
      <c r="C46" s="376" t="s">
        <v>290</v>
      </c>
      <c r="D46" s="452" t="s">
        <v>233</v>
      </c>
      <c r="E46" s="452" t="s">
        <v>188</v>
      </c>
      <c r="F46" s="454"/>
      <c r="G46" s="454"/>
      <c r="H46" s="454"/>
      <c r="I46" s="454"/>
      <c r="J46" s="454"/>
      <c r="K46" s="454"/>
      <c r="L46" s="454"/>
      <c r="M46" s="454"/>
      <c r="N46" s="454"/>
      <c r="O46" s="454"/>
      <c r="P46" s="454"/>
      <c r="Q46" s="454"/>
      <c r="R46" s="454"/>
      <c r="S46" s="454"/>
      <c r="T46" s="454"/>
    </row>
    <row r="47" spans="1:20" s="453" customFormat="1" x14ac:dyDescent="0.2">
      <c r="A47" s="449"/>
      <c r="B47" s="449" t="s">
        <v>291</v>
      </c>
      <c r="C47" s="449" t="s">
        <v>292</v>
      </c>
      <c r="D47" s="449" t="s">
        <v>208</v>
      </c>
      <c r="E47" s="449" t="s">
        <v>188</v>
      </c>
      <c r="F47" s="456"/>
      <c r="G47" s="456"/>
      <c r="H47" s="456"/>
      <c r="I47" s="456"/>
      <c r="J47" s="456"/>
      <c r="K47" s="456"/>
      <c r="L47" s="456"/>
      <c r="M47" s="456"/>
      <c r="N47" s="456"/>
      <c r="O47" s="456"/>
      <c r="P47" s="456"/>
      <c r="Q47" s="456"/>
      <c r="R47" s="456"/>
      <c r="S47" s="456"/>
      <c r="T47" s="456"/>
    </row>
    <row r="48" spans="1:20" s="453" customFormat="1" x14ac:dyDescent="0.2">
      <c r="A48" s="449"/>
      <c r="B48" s="449" t="s">
        <v>293</v>
      </c>
      <c r="C48" s="449" t="s">
        <v>294</v>
      </c>
      <c r="D48" s="449" t="s">
        <v>250</v>
      </c>
      <c r="E48" s="449" t="s">
        <v>188</v>
      </c>
      <c r="F48" s="456"/>
      <c r="G48" s="456"/>
      <c r="H48" s="456"/>
      <c r="I48" s="456"/>
      <c r="J48" s="456"/>
      <c r="K48" s="456"/>
      <c r="L48" s="456"/>
      <c r="M48" s="456"/>
      <c r="N48" s="456"/>
      <c r="O48" s="456"/>
      <c r="P48" s="456"/>
      <c r="Q48" s="456"/>
      <c r="R48" s="456"/>
      <c r="S48" s="456"/>
      <c r="T48" s="456"/>
    </row>
    <row r="49" spans="1:20" x14ac:dyDescent="0.2">
      <c r="B49" s="376" t="s">
        <v>295</v>
      </c>
      <c r="C49" s="376" t="s">
        <v>296</v>
      </c>
      <c r="D49" s="452" t="s">
        <v>250</v>
      </c>
      <c r="E49" s="452" t="s">
        <v>188</v>
      </c>
      <c r="F49" s="454"/>
      <c r="G49" s="454"/>
      <c r="H49" s="454"/>
      <c r="I49" s="454"/>
      <c r="J49" s="454"/>
      <c r="K49" s="454"/>
      <c r="L49" s="454"/>
      <c r="M49" s="454"/>
      <c r="N49" s="454"/>
      <c r="O49" s="454"/>
      <c r="P49" s="454"/>
      <c r="Q49" s="454"/>
      <c r="R49" s="454"/>
      <c r="S49" s="454"/>
      <c r="T49" s="454"/>
    </row>
    <row r="50" spans="1:20" x14ac:dyDescent="0.2">
      <c r="B50" s="376" t="s">
        <v>297</v>
      </c>
      <c r="C50" s="376" t="s">
        <v>298</v>
      </c>
      <c r="D50" s="452" t="s">
        <v>233</v>
      </c>
      <c r="E50" s="452" t="s">
        <v>188</v>
      </c>
      <c r="F50" s="454"/>
      <c r="G50" s="454"/>
      <c r="H50" s="454"/>
      <c r="I50" s="454"/>
      <c r="J50" s="454"/>
      <c r="K50" s="454"/>
      <c r="L50" s="454"/>
      <c r="M50" s="454"/>
      <c r="N50" s="454"/>
      <c r="O50" s="454"/>
      <c r="P50" s="454"/>
      <c r="Q50" s="454"/>
      <c r="R50" s="454"/>
      <c r="S50" s="454"/>
      <c r="T50" s="454"/>
    </row>
    <row r="51" spans="1:20" s="453" customFormat="1" x14ac:dyDescent="0.2">
      <c r="A51" s="449"/>
      <c r="B51" s="449" t="s">
        <v>299</v>
      </c>
      <c r="C51" s="449" t="s">
        <v>300</v>
      </c>
      <c r="D51" s="449" t="s">
        <v>208</v>
      </c>
      <c r="E51" s="449" t="s">
        <v>188</v>
      </c>
      <c r="F51" s="456"/>
      <c r="G51" s="456"/>
      <c r="H51" s="456"/>
      <c r="I51" s="456"/>
      <c r="J51" s="456"/>
      <c r="K51" s="456"/>
      <c r="L51" s="456"/>
      <c r="M51" s="456"/>
      <c r="N51" s="456"/>
      <c r="O51" s="456"/>
      <c r="P51" s="456"/>
      <c r="Q51" s="456"/>
      <c r="R51" s="456"/>
      <c r="S51" s="456"/>
      <c r="T51" s="456"/>
    </row>
    <row r="52" spans="1:20" x14ac:dyDescent="0.2">
      <c r="B52" s="376" t="s">
        <v>301</v>
      </c>
      <c r="C52" s="452" t="s">
        <v>302</v>
      </c>
      <c r="D52" s="452" t="s">
        <v>303</v>
      </c>
      <c r="E52" s="452" t="s">
        <v>188</v>
      </c>
      <c r="F52" s="454"/>
      <c r="G52" s="454"/>
      <c r="H52" s="454"/>
      <c r="I52" s="454"/>
      <c r="J52" s="454"/>
      <c r="K52" s="454"/>
      <c r="L52" s="454"/>
      <c r="M52" s="454"/>
      <c r="N52" s="454"/>
      <c r="O52" s="454"/>
      <c r="P52" s="454"/>
      <c r="Q52" s="454"/>
      <c r="R52" s="454"/>
      <c r="S52" s="454"/>
      <c r="T52" s="454"/>
    </row>
    <row r="53" spans="1:20" s="453" customFormat="1" x14ac:dyDescent="0.2">
      <c r="A53" s="449"/>
      <c r="B53" s="449" t="s">
        <v>304</v>
      </c>
      <c r="C53" s="449" t="s">
        <v>305</v>
      </c>
      <c r="D53" s="449" t="s">
        <v>303</v>
      </c>
      <c r="E53" s="449" t="s">
        <v>188</v>
      </c>
      <c r="F53" s="456"/>
      <c r="G53" s="456"/>
      <c r="H53" s="456"/>
      <c r="I53" s="456"/>
      <c r="J53" s="456"/>
      <c r="K53" s="456"/>
      <c r="L53" s="456"/>
      <c r="M53" s="456"/>
      <c r="N53" s="456"/>
      <c r="O53" s="456"/>
      <c r="P53" s="456"/>
      <c r="Q53" s="456"/>
      <c r="R53" s="456"/>
      <c r="S53" s="456"/>
      <c r="T53" s="456"/>
    </row>
    <row r="54" spans="1:20" s="453" customFormat="1" x14ac:dyDescent="0.2">
      <c r="A54" s="449"/>
      <c r="B54" s="449" t="s">
        <v>306</v>
      </c>
      <c r="C54" s="449" t="s">
        <v>307</v>
      </c>
      <c r="D54" s="457" t="s">
        <v>308</v>
      </c>
      <c r="E54" s="449" t="s">
        <v>188</v>
      </c>
      <c r="F54" s="456"/>
      <c r="G54" s="456"/>
      <c r="H54" s="456"/>
      <c r="I54" s="456"/>
      <c r="J54" s="456"/>
      <c r="K54" s="456"/>
      <c r="L54" s="456"/>
      <c r="M54" s="456"/>
      <c r="N54" s="456"/>
      <c r="O54" s="456"/>
      <c r="P54" s="456"/>
      <c r="Q54" s="456"/>
      <c r="R54" s="456"/>
      <c r="S54" s="456"/>
      <c r="T54" s="456"/>
    </row>
    <row r="55" spans="1:20" x14ac:dyDescent="0.2">
      <c r="B55" s="376" t="s">
        <v>309</v>
      </c>
      <c r="C55" s="452" t="s">
        <v>310</v>
      </c>
      <c r="D55" s="452" t="s">
        <v>303</v>
      </c>
      <c r="E55" s="452" t="s">
        <v>188</v>
      </c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54"/>
      <c r="Q55" s="454"/>
      <c r="R55" s="454"/>
      <c r="S55" s="454"/>
      <c r="T55" s="454"/>
    </row>
    <row r="56" spans="1:20" x14ac:dyDescent="0.2">
      <c r="B56" s="376" t="s">
        <v>311</v>
      </c>
      <c r="C56" s="452" t="s">
        <v>312</v>
      </c>
      <c r="D56" s="452" t="s">
        <v>303</v>
      </c>
      <c r="E56" s="452" t="s">
        <v>188</v>
      </c>
      <c r="F56" s="454"/>
      <c r="G56" s="454"/>
      <c r="H56" s="454"/>
      <c r="I56" s="454"/>
      <c r="J56" s="454"/>
      <c r="K56" s="454"/>
      <c r="L56" s="454"/>
      <c r="M56" s="454"/>
      <c r="N56" s="454"/>
      <c r="O56" s="454"/>
      <c r="P56" s="454"/>
      <c r="Q56" s="454"/>
      <c r="R56" s="454"/>
      <c r="S56" s="454"/>
      <c r="T56" s="454"/>
    </row>
    <row r="57" spans="1:20" s="453" customFormat="1" x14ac:dyDescent="0.2">
      <c r="A57" s="449"/>
      <c r="B57" s="451" t="s">
        <v>313</v>
      </c>
      <c r="C57" s="450" t="s">
        <v>314</v>
      </c>
      <c r="D57" s="449" t="s">
        <v>233</v>
      </c>
      <c r="E57" s="449" t="s">
        <v>188</v>
      </c>
      <c r="F57" s="456"/>
      <c r="G57" s="456"/>
      <c r="H57" s="456"/>
      <c r="I57" s="456"/>
      <c r="J57" s="456"/>
      <c r="K57" s="456"/>
      <c r="L57" s="456"/>
      <c r="M57" s="456"/>
      <c r="N57" s="456"/>
      <c r="O57" s="456"/>
      <c r="P57" s="456"/>
      <c r="Q57" s="456"/>
      <c r="R57" s="456"/>
      <c r="S57" s="456"/>
      <c r="T57" s="456"/>
    </row>
    <row r="58" spans="1:20" s="453" customFormat="1" x14ac:dyDescent="0.2">
      <c r="A58" s="449"/>
      <c r="B58" s="451" t="s">
        <v>315</v>
      </c>
      <c r="C58" s="450" t="s">
        <v>316</v>
      </c>
      <c r="D58" s="449" t="s">
        <v>233</v>
      </c>
      <c r="E58" s="449" t="s">
        <v>188</v>
      </c>
      <c r="F58" s="456"/>
      <c r="G58" s="456"/>
      <c r="H58" s="456"/>
      <c r="I58" s="456"/>
      <c r="J58" s="456"/>
      <c r="K58" s="456"/>
      <c r="L58" s="456"/>
      <c r="M58" s="456"/>
      <c r="N58" s="456"/>
      <c r="O58" s="456"/>
      <c r="P58" s="456"/>
      <c r="Q58" s="456"/>
      <c r="R58" s="456"/>
      <c r="S58" s="456"/>
      <c r="T58" s="456"/>
    </row>
    <row r="59" spans="1:20" x14ac:dyDescent="0.2">
      <c r="B59" s="376" t="s">
        <v>317</v>
      </c>
      <c r="C59" s="452" t="s">
        <v>318</v>
      </c>
      <c r="D59" s="452" t="s">
        <v>308</v>
      </c>
      <c r="E59" s="452" t="s">
        <v>188</v>
      </c>
      <c r="F59" s="454"/>
      <c r="G59" s="454"/>
      <c r="H59" s="454"/>
      <c r="I59" s="454"/>
      <c r="J59" s="454"/>
      <c r="K59" s="454"/>
      <c r="L59" s="454"/>
      <c r="M59" s="454"/>
      <c r="N59" s="454"/>
      <c r="O59" s="454"/>
      <c r="P59" s="454"/>
      <c r="Q59" s="454"/>
      <c r="R59" s="454"/>
      <c r="S59" s="454"/>
      <c r="T59" s="454"/>
    </row>
    <row r="60" spans="1:20" x14ac:dyDescent="0.2">
      <c r="B60" s="376" t="s">
        <v>319</v>
      </c>
      <c r="C60" s="452" t="s">
        <v>320</v>
      </c>
      <c r="D60" s="452" t="s">
        <v>308</v>
      </c>
      <c r="E60" s="452" t="s">
        <v>188</v>
      </c>
      <c r="F60" s="454"/>
      <c r="G60" s="454"/>
      <c r="H60" s="454"/>
      <c r="I60" s="454"/>
      <c r="J60" s="454"/>
      <c r="K60" s="454"/>
      <c r="L60" s="454"/>
      <c r="M60" s="454"/>
      <c r="N60" s="454"/>
      <c r="O60" s="454"/>
      <c r="P60" s="454"/>
      <c r="Q60" s="454"/>
      <c r="R60" s="454"/>
      <c r="S60" s="454"/>
      <c r="T60" s="454"/>
    </row>
    <row r="61" spans="1:20" s="453" customFormat="1" x14ac:dyDescent="0.2">
      <c r="A61" s="449"/>
      <c r="B61" s="449" t="s">
        <v>321</v>
      </c>
      <c r="C61" s="449" t="s">
        <v>322</v>
      </c>
      <c r="D61" s="449" t="s">
        <v>303</v>
      </c>
      <c r="E61" s="449" t="s">
        <v>188</v>
      </c>
      <c r="F61" s="456"/>
      <c r="G61" s="456"/>
      <c r="H61" s="456"/>
      <c r="I61" s="456"/>
      <c r="J61" s="456"/>
      <c r="K61" s="456"/>
      <c r="L61" s="456"/>
      <c r="M61" s="456"/>
      <c r="N61" s="456"/>
      <c r="O61" s="456"/>
      <c r="P61" s="456"/>
      <c r="Q61" s="456"/>
      <c r="R61" s="456"/>
      <c r="S61" s="456"/>
      <c r="T61" s="456"/>
    </row>
    <row r="62" spans="1:20" s="453" customFormat="1" x14ac:dyDescent="0.2">
      <c r="A62" s="449"/>
      <c r="B62" s="449" t="s">
        <v>323</v>
      </c>
      <c r="C62" s="449" t="s">
        <v>324</v>
      </c>
      <c r="D62" s="449" t="s">
        <v>303</v>
      </c>
      <c r="E62" s="449" t="s">
        <v>188</v>
      </c>
      <c r="F62" s="456"/>
      <c r="G62" s="456"/>
      <c r="H62" s="456"/>
      <c r="I62" s="456"/>
      <c r="J62" s="456"/>
      <c r="K62" s="456"/>
      <c r="L62" s="456"/>
      <c r="M62" s="456"/>
      <c r="N62" s="456"/>
      <c r="O62" s="456"/>
      <c r="P62" s="456"/>
      <c r="Q62" s="456"/>
      <c r="R62" s="456"/>
      <c r="S62" s="456"/>
      <c r="T62" s="456"/>
    </row>
    <row r="63" spans="1:20" x14ac:dyDescent="0.2">
      <c r="B63" s="376" t="s">
        <v>325</v>
      </c>
      <c r="C63" s="376" t="s">
        <v>326</v>
      </c>
      <c r="D63" s="452" t="s">
        <v>233</v>
      </c>
      <c r="E63" s="452" t="s">
        <v>188</v>
      </c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54"/>
      <c r="Q63" s="454"/>
      <c r="R63" s="454"/>
      <c r="S63" s="454"/>
      <c r="T63" s="454"/>
    </row>
    <row r="64" spans="1:20" x14ac:dyDescent="0.2">
      <c r="B64" s="376" t="s">
        <v>327</v>
      </c>
      <c r="C64" s="376" t="s">
        <v>328</v>
      </c>
      <c r="D64" s="452" t="s">
        <v>233</v>
      </c>
      <c r="E64" s="452" t="s">
        <v>188</v>
      </c>
      <c r="F64" s="454"/>
      <c r="G64" s="454"/>
      <c r="H64" s="454"/>
      <c r="I64" s="454"/>
      <c r="J64" s="454"/>
      <c r="K64" s="454"/>
      <c r="L64" s="454"/>
      <c r="M64" s="454"/>
      <c r="N64" s="454"/>
      <c r="O64" s="454"/>
      <c r="P64" s="454"/>
      <c r="Q64" s="454"/>
      <c r="R64" s="454"/>
      <c r="S64" s="454"/>
      <c r="T64" s="454"/>
    </row>
    <row r="65" spans="1:20" x14ac:dyDescent="0.2">
      <c r="B65" s="376" t="s">
        <v>329</v>
      </c>
      <c r="C65" s="376" t="s">
        <v>330</v>
      </c>
      <c r="D65" s="452" t="s">
        <v>208</v>
      </c>
      <c r="E65" s="452" t="s">
        <v>188</v>
      </c>
      <c r="F65" s="454"/>
      <c r="G65" s="454"/>
      <c r="H65" s="454"/>
      <c r="I65" s="454"/>
      <c r="J65" s="454"/>
      <c r="K65" s="454"/>
      <c r="L65" s="454"/>
      <c r="M65" s="454"/>
      <c r="N65" s="454"/>
      <c r="O65" s="454"/>
      <c r="P65" s="454"/>
      <c r="Q65" s="454"/>
      <c r="R65" s="454"/>
      <c r="S65" s="454"/>
      <c r="T65" s="454"/>
    </row>
    <row r="66" spans="1:20" x14ac:dyDescent="0.2">
      <c r="B66" s="376" t="s">
        <v>331</v>
      </c>
      <c r="C66" s="376" t="s">
        <v>332</v>
      </c>
      <c r="D66" s="452" t="s">
        <v>233</v>
      </c>
      <c r="E66" s="452" t="s">
        <v>188</v>
      </c>
      <c r="F66" s="454"/>
      <c r="G66" s="454"/>
      <c r="H66" s="454"/>
      <c r="I66" s="454"/>
      <c r="J66" s="454"/>
      <c r="K66" s="454"/>
      <c r="L66" s="454"/>
      <c r="M66" s="454"/>
      <c r="N66" s="454"/>
      <c r="O66" s="454"/>
      <c r="P66" s="454"/>
      <c r="Q66" s="454"/>
      <c r="R66" s="454"/>
      <c r="S66" s="454"/>
      <c r="T66" s="454"/>
    </row>
    <row r="67" spans="1:20" x14ac:dyDescent="0.2">
      <c r="B67" s="376" t="s">
        <v>333</v>
      </c>
      <c r="C67" s="376" t="s">
        <v>334</v>
      </c>
      <c r="D67" s="452" t="s">
        <v>208</v>
      </c>
      <c r="E67" s="452" t="s">
        <v>188</v>
      </c>
      <c r="F67" s="454"/>
      <c r="G67" s="454"/>
      <c r="H67" s="454"/>
      <c r="I67" s="454"/>
      <c r="J67" s="454"/>
      <c r="K67" s="454"/>
      <c r="L67" s="454"/>
      <c r="M67" s="454"/>
      <c r="N67" s="454"/>
      <c r="O67" s="454"/>
      <c r="P67" s="454"/>
      <c r="Q67" s="454"/>
      <c r="R67" s="454"/>
      <c r="S67" s="454"/>
      <c r="T67" s="454"/>
    </row>
    <row r="68" spans="1:20" x14ac:dyDescent="0.2">
      <c r="B68" s="376" t="s">
        <v>335</v>
      </c>
      <c r="C68" s="376" t="s">
        <v>336</v>
      </c>
      <c r="D68" s="452" t="s">
        <v>250</v>
      </c>
      <c r="E68" s="452" t="s">
        <v>188</v>
      </c>
      <c r="F68" s="454"/>
      <c r="G68" s="454"/>
      <c r="H68" s="454"/>
      <c r="I68" s="454"/>
      <c r="J68" s="454"/>
      <c r="K68" s="454"/>
      <c r="L68" s="454"/>
      <c r="M68" s="454"/>
      <c r="N68" s="454"/>
      <c r="O68" s="454"/>
      <c r="P68" s="454"/>
      <c r="Q68" s="454"/>
      <c r="R68" s="454"/>
      <c r="S68" s="454"/>
      <c r="T68" s="454"/>
    </row>
    <row r="69" spans="1:20" x14ac:dyDescent="0.2">
      <c r="B69" s="376" t="s">
        <v>337</v>
      </c>
      <c r="C69" s="376" t="s">
        <v>338</v>
      </c>
      <c r="D69" s="452" t="s">
        <v>208</v>
      </c>
      <c r="E69" s="452" t="s">
        <v>188</v>
      </c>
      <c r="F69" s="454"/>
      <c r="G69" s="454"/>
      <c r="H69" s="454"/>
      <c r="I69" s="454"/>
      <c r="J69" s="454"/>
      <c r="K69" s="454"/>
      <c r="L69" s="454"/>
      <c r="M69" s="454"/>
      <c r="N69" s="454"/>
      <c r="O69" s="454"/>
      <c r="P69" s="454"/>
      <c r="Q69" s="454"/>
      <c r="R69" s="454"/>
      <c r="S69" s="454"/>
      <c r="T69" s="454"/>
    </row>
    <row r="70" spans="1:20" x14ac:dyDescent="0.2">
      <c r="B70" s="376" t="s">
        <v>339</v>
      </c>
      <c r="C70" s="376" t="s">
        <v>340</v>
      </c>
      <c r="D70" s="452" t="s">
        <v>250</v>
      </c>
      <c r="E70" s="452" t="s">
        <v>188</v>
      </c>
      <c r="F70" s="454"/>
      <c r="G70" s="454"/>
      <c r="H70" s="454"/>
      <c r="I70" s="454"/>
      <c r="J70" s="454"/>
      <c r="K70" s="454"/>
      <c r="L70" s="454"/>
      <c r="M70" s="454"/>
      <c r="N70" s="454"/>
      <c r="O70" s="454"/>
      <c r="P70" s="454"/>
      <c r="Q70" s="454"/>
      <c r="R70" s="454"/>
      <c r="S70" s="454"/>
      <c r="T70" s="454"/>
    </row>
    <row r="71" spans="1:20" x14ac:dyDescent="0.2">
      <c r="B71" s="376" t="s">
        <v>341</v>
      </c>
      <c r="C71" s="376" t="s">
        <v>342</v>
      </c>
      <c r="D71" s="452" t="s">
        <v>208</v>
      </c>
      <c r="E71" s="452" t="s">
        <v>188</v>
      </c>
      <c r="F71" s="454"/>
      <c r="G71" s="454"/>
      <c r="H71" s="454"/>
      <c r="I71" s="454"/>
      <c r="J71" s="454"/>
      <c r="K71" s="454"/>
      <c r="L71" s="454"/>
      <c r="M71" s="454"/>
      <c r="N71" s="454"/>
      <c r="O71" s="454"/>
      <c r="P71" s="454"/>
      <c r="Q71" s="454"/>
      <c r="R71" s="454"/>
      <c r="S71" s="454"/>
      <c r="T71" s="454"/>
    </row>
    <row r="72" spans="1:20" x14ac:dyDescent="0.2">
      <c r="B72" s="376" t="s">
        <v>343</v>
      </c>
      <c r="C72" s="376" t="s">
        <v>344</v>
      </c>
      <c r="D72" s="452" t="s">
        <v>250</v>
      </c>
      <c r="E72" s="452" t="s">
        <v>188</v>
      </c>
      <c r="F72" s="454"/>
      <c r="G72" s="454"/>
      <c r="H72" s="454"/>
      <c r="I72" s="454"/>
      <c r="J72" s="454"/>
      <c r="K72" s="454"/>
      <c r="L72" s="454"/>
      <c r="M72" s="454"/>
      <c r="N72" s="454"/>
      <c r="O72" s="454"/>
      <c r="P72" s="454"/>
      <c r="Q72" s="454"/>
      <c r="R72" s="454"/>
      <c r="S72" s="454"/>
      <c r="T72" s="454"/>
    </row>
    <row r="73" spans="1:20" x14ac:dyDescent="0.2">
      <c r="B73" s="376" t="s">
        <v>345</v>
      </c>
      <c r="C73" s="376" t="s">
        <v>346</v>
      </c>
      <c r="D73" s="452" t="s">
        <v>208</v>
      </c>
      <c r="E73" s="452" t="s">
        <v>188</v>
      </c>
      <c r="F73" s="454"/>
      <c r="G73" s="454"/>
      <c r="H73" s="454"/>
      <c r="I73" s="454"/>
      <c r="J73" s="454"/>
      <c r="K73" s="454"/>
      <c r="L73" s="454"/>
      <c r="M73" s="454"/>
      <c r="N73" s="454"/>
      <c r="O73" s="454"/>
      <c r="P73" s="454"/>
      <c r="Q73" s="454"/>
      <c r="R73" s="454"/>
      <c r="S73" s="454"/>
      <c r="T73" s="454"/>
    </row>
    <row r="74" spans="1:20" x14ac:dyDescent="0.2">
      <c r="B74" s="376" t="s">
        <v>347</v>
      </c>
      <c r="C74" s="376" t="s">
        <v>280</v>
      </c>
      <c r="D74" s="452" t="s">
        <v>250</v>
      </c>
      <c r="E74" s="452" t="s">
        <v>188</v>
      </c>
      <c r="F74" s="454"/>
      <c r="G74" s="454"/>
      <c r="H74" s="454"/>
      <c r="I74" s="454"/>
      <c r="J74" s="454"/>
      <c r="K74" s="454"/>
      <c r="L74" s="454"/>
      <c r="M74" s="454"/>
      <c r="N74" s="454"/>
      <c r="O74" s="454"/>
      <c r="P74" s="454"/>
      <c r="Q74" s="454"/>
      <c r="R74" s="454"/>
      <c r="S74" s="454"/>
      <c r="T74" s="454"/>
    </row>
    <row r="75" spans="1:20" s="453" customFormat="1" x14ac:dyDescent="0.2">
      <c r="A75" s="449"/>
      <c r="B75" s="449" t="s">
        <v>348</v>
      </c>
      <c r="C75" s="449" t="s">
        <v>349</v>
      </c>
      <c r="D75" s="449" t="s">
        <v>303</v>
      </c>
      <c r="E75" s="449" t="s">
        <v>188</v>
      </c>
      <c r="F75" s="456"/>
      <c r="G75" s="456"/>
      <c r="H75" s="456"/>
      <c r="I75" s="456"/>
      <c r="J75" s="456"/>
      <c r="K75" s="456"/>
      <c r="L75" s="456"/>
      <c r="M75" s="456"/>
      <c r="N75" s="456"/>
      <c r="O75" s="456"/>
      <c r="P75" s="456"/>
      <c r="Q75" s="456"/>
      <c r="R75" s="456"/>
      <c r="S75" s="456"/>
      <c r="T75" s="456"/>
    </row>
    <row r="76" spans="1:20" s="453" customFormat="1" x14ac:dyDescent="0.2">
      <c r="A76" s="449"/>
      <c r="B76" s="449" t="s">
        <v>350</v>
      </c>
      <c r="C76" s="449" t="s">
        <v>307</v>
      </c>
      <c r="D76" s="457" t="s">
        <v>308</v>
      </c>
      <c r="E76" s="449" t="s">
        <v>188</v>
      </c>
      <c r="F76" s="456"/>
      <c r="G76" s="456"/>
      <c r="H76" s="456"/>
      <c r="I76" s="456"/>
      <c r="J76" s="456"/>
      <c r="K76" s="456"/>
      <c r="L76" s="456"/>
      <c r="M76" s="456"/>
      <c r="N76" s="456"/>
      <c r="O76" s="456"/>
      <c r="P76" s="456"/>
      <c r="Q76" s="456"/>
      <c r="R76" s="456"/>
      <c r="S76" s="456"/>
      <c r="T76" s="456"/>
    </row>
    <row r="77" spans="1:20" s="453" customFormat="1" x14ac:dyDescent="0.2">
      <c r="A77" s="449"/>
      <c r="B77" s="449" t="s">
        <v>351</v>
      </c>
      <c r="C77" s="449" t="s">
        <v>314</v>
      </c>
      <c r="D77" s="457" t="s">
        <v>233</v>
      </c>
      <c r="E77" s="449" t="s">
        <v>188</v>
      </c>
      <c r="F77" s="456"/>
      <c r="G77" s="456"/>
      <c r="H77" s="456"/>
      <c r="I77" s="456"/>
      <c r="J77" s="456"/>
      <c r="K77" s="456"/>
      <c r="L77" s="456"/>
      <c r="M77" s="456"/>
      <c r="N77" s="456"/>
      <c r="O77" s="456"/>
      <c r="P77" s="456"/>
      <c r="Q77" s="456"/>
      <c r="R77" s="456"/>
      <c r="S77" s="456"/>
      <c r="T77" s="456"/>
    </row>
    <row r="78" spans="1:20" s="453" customFormat="1" x14ac:dyDescent="0.2">
      <c r="A78" s="449"/>
      <c r="B78" s="449" t="s">
        <v>352</v>
      </c>
      <c r="C78" s="449" t="s">
        <v>316</v>
      </c>
      <c r="D78" s="457" t="s">
        <v>233</v>
      </c>
      <c r="E78" s="449" t="s">
        <v>188</v>
      </c>
      <c r="F78" s="456"/>
      <c r="G78" s="456"/>
      <c r="H78" s="456"/>
      <c r="I78" s="456"/>
      <c r="J78" s="456"/>
      <c r="K78" s="456"/>
      <c r="L78" s="456"/>
      <c r="M78" s="456"/>
      <c r="N78" s="456"/>
      <c r="O78" s="456"/>
      <c r="P78" s="456"/>
      <c r="Q78" s="456"/>
      <c r="R78" s="456"/>
      <c r="S78" s="456"/>
      <c r="T78" s="456"/>
    </row>
    <row r="79" spans="1:20" s="453" customFormat="1" x14ac:dyDescent="0.2">
      <c r="A79" s="449"/>
      <c r="B79" s="449" t="s">
        <v>353</v>
      </c>
      <c r="C79" s="449" t="s">
        <v>318</v>
      </c>
      <c r="D79" s="457" t="s">
        <v>308</v>
      </c>
      <c r="E79" s="449" t="s">
        <v>188</v>
      </c>
      <c r="F79" s="456"/>
      <c r="G79" s="456"/>
      <c r="H79" s="456"/>
      <c r="I79" s="456"/>
      <c r="J79" s="456"/>
      <c r="K79" s="456"/>
      <c r="L79" s="456"/>
      <c r="M79" s="456"/>
      <c r="N79" s="456"/>
      <c r="O79" s="456"/>
      <c r="P79" s="456"/>
      <c r="Q79" s="456"/>
      <c r="R79" s="456"/>
      <c r="S79" s="456"/>
      <c r="T79" s="456"/>
    </row>
    <row r="80" spans="1:20" s="453" customFormat="1" x14ac:dyDescent="0.2">
      <c r="A80" s="449"/>
      <c r="B80" s="449" t="s">
        <v>354</v>
      </c>
      <c r="C80" s="449" t="s">
        <v>320</v>
      </c>
      <c r="D80" s="457" t="s">
        <v>308</v>
      </c>
      <c r="E80" s="449" t="s">
        <v>188</v>
      </c>
      <c r="F80" s="456"/>
      <c r="G80" s="456"/>
      <c r="H80" s="456"/>
      <c r="I80" s="456"/>
      <c r="J80" s="456"/>
      <c r="K80" s="456"/>
      <c r="L80" s="456"/>
      <c r="M80" s="456"/>
      <c r="N80" s="456"/>
      <c r="O80" s="456"/>
      <c r="P80" s="456"/>
      <c r="Q80" s="456"/>
      <c r="R80" s="456"/>
      <c r="S80" s="456"/>
      <c r="T80" s="456"/>
    </row>
    <row r="81" spans="1:20" s="453" customFormat="1" x14ac:dyDescent="0.2">
      <c r="A81" s="449"/>
      <c r="B81" s="449" t="s">
        <v>355</v>
      </c>
      <c r="C81" s="449" t="s">
        <v>310</v>
      </c>
      <c r="D81" s="457" t="s">
        <v>303</v>
      </c>
      <c r="E81" s="449" t="s">
        <v>188</v>
      </c>
      <c r="F81" s="456"/>
      <c r="G81" s="456"/>
      <c r="H81" s="456"/>
      <c r="I81" s="456"/>
      <c r="J81" s="456"/>
      <c r="K81" s="456"/>
      <c r="L81" s="456"/>
      <c r="M81" s="456"/>
      <c r="N81" s="456"/>
      <c r="O81" s="456"/>
      <c r="P81" s="456"/>
      <c r="Q81" s="456"/>
      <c r="R81" s="456"/>
      <c r="S81" s="456"/>
      <c r="T81" s="456"/>
    </row>
    <row r="82" spans="1:20" s="453" customFormat="1" x14ac:dyDescent="0.2">
      <c r="A82" s="449"/>
      <c r="B82" s="449" t="s">
        <v>356</v>
      </c>
      <c r="C82" s="449" t="s">
        <v>312</v>
      </c>
      <c r="D82" s="457" t="s">
        <v>303</v>
      </c>
      <c r="E82" s="449" t="s">
        <v>188</v>
      </c>
      <c r="F82" s="456"/>
      <c r="G82" s="456"/>
      <c r="H82" s="456"/>
      <c r="I82" s="456"/>
      <c r="J82" s="456"/>
      <c r="K82" s="456"/>
      <c r="L82" s="456"/>
      <c r="M82" s="456"/>
      <c r="N82" s="456"/>
      <c r="O82" s="456"/>
      <c r="P82" s="456"/>
      <c r="Q82" s="456"/>
      <c r="R82" s="456"/>
      <c r="S82" s="456"/>
      <c r="T82" s="456"/>
    </row>
    <row r="83" spans="1:20" x14ac:dyDescent="0.2">
      <c r="B83" s="376" t="s">
        <v>357</v>
      </c>
      <c r="C83" s="376" t="s">
        <v>286</v>
      </c>
      <c r="D83" s="452" t="s">
        <v>250</v>
      </c>
      <c r="E83" s="452" t="s">
        <v>188</v>
      </c>
      <c r="F83" s="454"/>
      <c r="G83" s="454"/>
      <c r="H83" s="454"/>
      <c r="I83" s="454"/>
      <c r="J83" s="454"/>
      <c r="K83" s="454"/>
      <c r="L83" s="454"/>
      <c r="M83" s="454"/>
      <c r="N83" s="454"/>
      <c r="O83" s="454"/>
      <c r="P83" s="454"/>
      <c r="Q83" s="454"/>
      <c r="R83" s="454"/>
      <c r="S83" s="454"/>
      <c r="T83" s="454"/>
    </row>
    <row r="84" spans="1:20" x14ac:dyDescent="0.2">
      <c r="B84" s="376" t="s">
        <v>358</v>
      </c>
      <c r="C84" s="376" t="s">
        <v>359</v>
      </c>
      <c r="D84" s="452" t="s">
        <v>208</v>
      </c>
      <c r="E84" s="452" t="s">
        <v>188</v>
      </c>
      <c r="F84" s="454"/>
      <c r="G84" s="454"/>
      <c r="H84" s="454"/>
      <c r="I84" s="454"/>
      <c r="J84" s="454"/>
      <c r="K84" s="454"/>
      <c r="L84" s="454"/>
      <c r="M84" s="454"/>
      <c r="N84" s="454"/>
      <c r="O84" s="454"/>
      <c r="P84" s="454"/>
      <c r="Q84" s="454"/>
      <c r="R84" s="454"/>
      <c r="S84" s="454"/>
      <c r="T84" s="454"/>
    </row>
    <row r="85" spans="1:20" s="453" customFormat="1" x14ac:dyDescent="0.2">
      <c r="A85" s="449"/>
      <c r="B85" s="449" t="s">
        <v>360</v>
      </c>
      <c r="C85" s="449" t="s">
        <v>294</v>
      </c>
      <c r="D85" s="449" t="s">
        <v>250</v>
      </c>
      <c r="E85" s="449" t="s">
        <v>188</v>
      </c>
      <c r="F85" s="456"/>
      <c r="G85" s="456"/>
      <c r="H85" s="456"/>
      <c r="I85" s="456"/>
      <c r="J85" s="456"/>
      <c r="K85" s="456"/>
      <c r="L85" s="456"/>
      <c r="M85" s="456"/>
      <c r="N85" s="456"/>
      <c r="O85" s="456"/>
      <c r="P85" s="456"/>
      <c r="Q85" s="456"/>
      <c r="R85" s="456"/>
      <c r="S85" s="456"/>
      <c r="T85" s="456"/>
    </row>
    <row r="86" spans="1:20" s="453" customFormat="1" x14ac:dyDescent="0.2">
      <c r="A86" s="449"/>
      <c r="B86" s="449" t="s">
        <v>361</v>
      </c>
      <c r="C86" s="449" t="s">
        <v>362</v>
      </c>
      <c r="D86" s="449" t="s">
        <v>208</v>
      </c>
      <c r="E86" s="449" t="s">
        <v>188</v>
      </c>
      <c r="F86" s="456"/>
      <c r="G86" s="456"/>
      <c r="H86" s="456"/>
      <c r="I86" s="456"/>
      <c r="J86" s="456"/>
      <c r="K86" s="456"/>
      <c r="L86" s="456"/>
      <c r="M86" s="456"/>
      <c r="N86" s="456"/>
      <c r="O86" s="456"/>
      <c r="P86" s="456"/>
      <c r="Q86" s="456"/>
      <c r="R86" s="456"/>
      <c r="S86" s="456"/>
      <c r="T86" s="456"/>
    </row>
    <row r="87" spans="1:20" s="453" customFormat="1" x14ac:dyDescent="0.2">
      <c r="A87" s="449"/>
      <c r="B87" s="449" t="s">
        <v>363</v>
      </c>
      <c r="C87" s="449" t="s">
        <v>364</v>
      </c>
      <c r="D87" s="449" t="s">
        <v>250</v>
      </c>
      <c r="E87" s="449" t="s">
        <v>188</v>
      </c>
      <c r="F87" s="456"/>
      <c r="G87" s="456"/>
      <c r="H87" s="456"/>
      <c r="I87" s="456"/>
      <c r="J87" s="456"/>
      <c r="K87" s="456"/>
      <c r="L87" s="456"/>
      <c r="M87" s="456"/>
      <c r="N87" s="456"/>
      <c r="O87" s="456"/>
      <c r="P87" s="456"/>
      <c r="Q87" s="456"/>
      <c r="R87" s="456"/>
      <c r="S87" s="456"/>
      <c r="T87" s="456"/>
    </row>
    <row r="88" spans="1:20" s="453" customFormat="1" x14ac:dyDescent="0.2">
      <c r="A88" s="449"/>
      <c r="B88" s="449" t="s">
        <v>365</v>
      </c>
      <c r="C88" s="449" t="s">
        <v>366</v>
      </c>
      <c r="D88" s="449" t="s">
        <v>250</v>
      </c>
      <c r="E88" s="449" t="s">
        <v>188</v>
      </c>
      <c r="F88" s="456"/>
      <c r="G88" s="456"/>
      <c r="H88" s="456"/>
      <c r="I88" s="456"/>
      <c r="J88" s="456"/>
      <c r="K88" s="456"/>
      <c r="L88" s="456"/>
      <c r="M88" s="456"/>
      <c r="N88" s="456"/>
      <c r="O88" s="456"/>
      <c r="P88" s="456"/>
      <c r="Q88" s="456"/>
      <c r="R88" s="456"/>
      <c r="S88" s="456"/>
      <c r="T88" s="456"/>
    </row>
    <row r="89" spans="1:20" s="453" customFormat="1" x14ac:dyDescent="0.2">
      <c r="A89" s="449"/>
      <c r="B89" s="449" t="s">
        <v>367</v>
      </c>
      <c r="C89" s="449" t="s">
        <v>368</v>
      </c>
      <c r="D89" s="449" t="s">
        <v>250</v>
      </c>
      <c r="E89" s="449" t="s">
        <v>188</v>
      </c>
      <c r="F89" s="456"/>
      <c r="G89" s="456"/>
      <c r="H89" s="456"/>
      <c r="I89" s="456"/>
      <c r="J89" s="456"/>
      <c r="K89" s="456"/>
      <c r="L89" s="456"/>
      <c r="M89" s="456"/>
      <c r="N89" s="456"/>
      <c r="O89" s="456"/>
      <c r="P89" s="456"/>
      <c r="Q89" s="456"/>
      <c r="R89" s="456"/>
      <c r="S89" s="456"/>
      <c r="T89" s="456"/>
    </row>
    <row r="90" spans="1:20" s="453" customFormat="1" x14ac:dyDescent="0.2">
      <c r="A90" s="449"/>
      <c r="B90" s="449" t="s">
        <v>369</v>
      </c>
      <c r="C90" s="449" t="s">
        <v>370</v>
      </c>
      <c r="D90" s="449" t="s">
        <v>250</v>
      </c>
      <c r="E90" s="449" t="s">
        <v>188</v>
      </c>
      <c r="F90" s="456"/>
      <c r="G90" s="456"/>
      <c r="H90" s="456"/>
      <c r="I90" s="456"/>
      <c r="J90" s="456"/>
      <c r="K90" s="456"/>
      <c r="L90" s="456"/>
      <c r="M90" s="456"/>
      <c r="N90" s="456"/>
      <c r="O90" s="456"/>
      <c r="P90" s="456"/>
      <c r="Q90" s="456"/>
      <c r="R90" s="456"/>
      <c r="S90" s="456"/>
      <c r="T90" s="456"/>
    </row>
    <row r="91" spans="1:20" s="453" customFormat="1" x14ac:dyDescent="0.2">
      <c r="A91" s="449"/>
      <c r="B91" s="449" t="s">
        <v>371</v>
      </c>
      <c r="C91" s="449" t="s">
        <v>372</v>
      </c>
      <c r="D91" s="449" t="s">
        <v>250</v>
      </c>
      <c r="E91" s="449" t="s">
        <v>188</v>
      </c>
      <c r="F91" s="456"/>
      <c r="G91" s="456"/>
      <c r="H91" s="456"/>
      <c r="I91" s="456"/>
      <c r="J91" s="456"/>
      <c r="K91" s="456"/>
      <c r="L91" s="456"/>
      <c r="M91" s="456"/>
      <c r="N91" s="456"/>
      <c r="O91" s="456"/>
      <c r="P91" s="456"/>
      <c r="Q91" s="456"/>
      <c r="R91" s="456"/>
      <c r="S91" s="456"/>
      <c r="T91" s="456"/>
    </row>
    <row r="92" spans="1:20" s="453" customFormat="1" x14ac:dyDescent="0.2">
      <c r="A92" s="449"/>
      <c r="B92" s="449" t="s">
        <v>373</v>
      </c>
      <c r="C92" s="449" t="s">
        <v>374</v>
      </c>
      <c r="D92" s="449" t="s">
        <v>250</v>
      </c>
      <c r="E92" s="449" t="s">
        <v>188</v>
      </c>
      <c r="F92" s="456"/>
      <c r="G92" s="456"/>
      <c r="H92" s="456"/>
      <c r="I92" s="456"/>
      <c r="J92" s="456"/>
      <c r="K92" s="456"/>
      <c r="L92" s="456"/>
      <c r="M92" s="456"/>
      <c r="N92" s="456"/>
      <c r="O92" s="456"/>
      <c r="P92" s="456"/>
      <c r="Q92" s="456"/>
      <c r="R92" s="456"/>
      <c r="S92" s="456"/>
      <c r="T92" s="456"/>
    </row>
    <row r="93" spans="1:20" s="453" customFormat="1" x14ac:dyDescent="0.2">
      <c r="A93" s="449"/>
      <c r="B93" s="449" t="s">
        <v>375</v>
      </c>
      <c r="C93" s="449" t="s">
        <v>376</v>
      </c>
      <c r="D93" s="449" t="s">
        <v>250</v>
      </c>
      <c r="E93" s="449" t="s">
        <v>188</v>
      </c>
      <c r="F93" s="456"/>
      <c r="G93" s="456"/>
      <c r="H93" s="456"/>
      <c r="I93" s="456"/>
      <c r="J93" s="456"/>
      <c r="K93" s="456"/>
      <c r="L93" s="456"/>
      <c r="M93" s="456"/>
      <c r="N93" s="456"/>
      <c r="O93" s="456"/>
      <c r="P93" s="456"/>
      <c r="Q93" s="456"/>
      <c r="R93" s="456"/>
      <c r="S93" s="456"/>
      <c r="T93" s="456"/>
    </row>
    <row r="94" spans="1:20" s="453" customFormat="1" x14ac:dyDescent="0.2">
      <c r="A94" s="449"/>
      <c r="B94" s="449" t="s">
        <v>377</v>
      </c>
      <c r="C94" s="449" t="s">
        <v>378</v>
      </c>
      <c r="D94" s="449" t="s">
        <v>250</v>
      </c>
      <c r="E94" s="449" t="s">
        <v>188</v>
      </c>
      <c r="F94" s="456"/>
      <c r="G94" s="456"/>
      <c r="H94" s="456"/>
      <c r="I94" s="456"/>
      <c r="J94" s="456"/>
      <c r="K94" s="456"/>
      <c r="L94" s="456"/>
      <c r="M94" s="456"/>
      <c r="N94" s="456"/>
      <c r="O94" s="456"/>
      <c r="P94" s="456"/>
      <c r="Q94" s="456"/>
      <c r="R94" s="456"/>
      <c r="S94" s="456"/>
      <c r="T94" s="456"/>
    </row>
    <row r="95" spans="1:20" s="453" customFormat="1" x14ac:dyDescent="0.2">
      <c r="A95" s="449"/>
      <c r="B95" s="449" t="s">
        <v>379</v>
      </c>
      <c r="C95" s="449" t="s">
        <v>380</v>
      </c>
      <c r="D95" s="449" t="s">
        <v>250</v>
      </c>
      <c r="E95" s="449" t="s">
        <v>188</v>
      </c>
      <c r="F95" s="456"/>
      <c r="G95" s="456"/>
      <c r="H95" s="456"/>
      <c r="I95" s="456"/>
      <c r="J95" s="456"/>
      <c r="K95" s="456"/>
      <c r="L95" s="456"/>
      <c r="M95" s="456"/>
      <c r="N95" s="456"/>
      <c r="O95" s="456"/>
      <c r="P95" s="456"/>
      <c r="Q95" s="456"/>
      <c r="R95" s="456"/>
      <c r="S95" s="456"/>
      <c r="T95" s="456"/>
    </row>
    <row r="96" spans="1:20" x14ac:dyDescent="0.2">
      <c r="B96" s="376" t="s">
        <v>381</v>
      </c>
      <c r="C96" s="376" t="s">
        <v>382</v>
      </c>
      <c r="D96" s="452" t="s">
        <v>250</v>
      </c>
      <c r="E96" s="452" t="s">
        <v>188</v>
      </c>
      <c r="F96" s="454"/>
      <c r="G96" s="454"/>
      <c r="H96" s="454"/>
      <c r="I96" s="454"/>
      <c r="J96" s="454"/>
      <c r="K96" s="454"/>
      <c r="L96" s="454"/>
      <c r="M96" s="454"/>
      <c r="N96" s="454"/>
      <c r="O96" s="454"/>
      <c r="P96" s="454"/>
      <c r="Q96" s="454"/>
      <c r="R96" s="454"/>
      <c r="S96" s="454"/>
      <c r="T96" s="454"/>
    </row>
    <row r="97" spans="1:20" x14ac:dyDescent="0.2">
      <c r="B97" s="376" t="s">
        <v>383</v>
      </c>
      <c r="C97" s="376" t="s">
        <v>384</v>
      </c>
      <c r="D97" s="452" t="s">
        <v>250</v>
      </c>
      <c r="E97" s="452" t="s">
        <v>188</v>
      </c>
      <c r="F97" s="454"/>
      <c r="G97" s="454"/>
      <c r="H97" s="454"/>
      <c r="I97" s="454"/>
      <c r="J97" s="454"/>
      <c r="K97" s="454"/>
      <c r="L97" s="454"/>
      <c r="M97" s="454"/>
      <c r="N97" s="454"/>
      <c r="O97" s="454"/>
      <c r="P97" s="454"/>
      <c r="Q97" s="454"/>
      <c r="R97" s="454"/>
      <c r="S97" s="454"/>
      <c r="T97" s="454"/>
    </row>
    <row r="98" spans="1:20" x14ac:dyDescent="0.2">
      <c r="B98" s="376" t="s">
        <v>385</v>
      </c>
      <c r="C98" s="376" t="s">
        <v>386</v>
      </c>
      <c r="D98" s="452" t="s">
        <v>250</v>
      </c>
      <c r="E98" s="452" t="s">
        <v>188</v>
      </c>
      <c r="F98" s="454"/>
      <c r="G98" s="454"/>
      <c r="H98" s="454"/>
      <c r="I98" s="454"/>
      <c r="J98" s="454"/>
      <c r="K98" s="454"/>
      <c r="L98" s="454"/>
      <c r="M98" s="454"/>
      <c r="N98" s="454"/>
      <c r="O98" s="454"/>
      <c r="P98" s="454"/>
      <c r="Q98" s="454"/>
      <c r="R98" s="454"/>
      <c r="S98" s="454"/>
      <c r="T98" s="454"/>
    </row>
    <row r="99" spans="1:20" x14ac:dyDescent="0.2">
      <c r="B99" s="376" t="s">
        <v>387</v>
      </c>
      <c r="C99" s="376" t="s">
        <v>388</v>
      </c>
      <c r="D99" s="452" t="s">
        <v>250</v>
      </c>
      <c r="E99" s="452" t="s">
        <v>188</v>
      </c>
      <c r="F99" s="454"/>
      <c r="G99" s="454"/>
      <c r="H99" s="454"/>
      <c r="I99" s="454"/>
      <c r="J99" s="454"/>
      <c r="K99" s="454"/>
      <c r="L99" s="454"/>
      <c r="M99" s="454"/>
      <c r="N99" s="454"/>
      <c r="O99" s="454"/>
      <c r="P99" s="454"/>
      <c r="Q99" s="454"/>
      <c r="R99" s="454"/>
      <c r="S99" s="454"/>
      <c r="T99" s="454"/>
    </row>
    <row r="100" spans="1:20" x14ac:dyDescent="0.2">
      <c r="B100" s="376" t="s">
        <v>389</v>
      </c>
      <c r="C100" s="376" t="s">
        <v>390</v>
      </c>
      <c r="D100" s="452" t="s">
        <v>250</v>
      </c>
      <c r="E100" s="452" t="s">
        <v>188</v>
      </c>
      <c r="F100" s="454"/>
      <c r="G100" s="454"/>
      <c r="H100" s="454"/>
      <c r="I100" s="454"/>
      <c r="J100" s="454"/>
      <c r="K100" s="454"/>
      <c r="L100" s="454"/>
      <c r="M100" s="454"/>
      <c r="N100" s="454"/>
      <c r="O100" s="454"/>
      <c r="P100" s="454"/>
      <c r="Q100" s="454"/>
      <c r="R100" s="454"/>
      <c r="S100" s="454"/>
      <c r="T100" s="454"/>
    </row>
    <row r="101" spans="1:20" x14ac:dyDescent="0.2">
      <c r="B101" s="376" t="s">
        <v>391</v>
      </c>
      <c r="C101" s="376" t="s">
        <v>392</v>
      </c>
      <c r="D101" s="452" t="s">
        <v>250</v>
      </c>
      <c r="E101" s="452" t="s">
        <v>188</v>
      </c>
      <c r="F101" s="454"/>
      <c r="G101" s="454"/>
      <c r="H101" s="454"/>
      <c r="I101" s="454"/>
      <c r="J101" s="454"/>
      <c r="K101" s="454"/>
      <c r="L101" s="454"/>
      <c r="M101" s="454"/>
      <c r="N101" s="454"/>
      <c r="O101" s="454"/>
      <c r="P101" s="454"/>
      <c r="Q101" s="454"/>
      <c r="R101" s="454"/>
      <c r="S101" s="454"/>
      <c r="T101" s="454"/>
    </row>
    <row r="102" spans="1:20" x14ac:dyDescent="0.2">
      <c r="B102" s="376" t="s">
        <v>393</v>
      </c>
      <c r="C102" s="376" t="s">
        <v>394</v>
      </c>
      <c r="D102" s="452" t="s">
        <v>250</v>
      </c>
      <c r="E102" s="452" t="s">
        <v>188</v>
      </c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</row>
    <row r="103" spans="1:20" s="453" customFormat="1" x14ac:dyDescent="0.2">
      <c r="A103" s="449"/>
      <c r="B103" s="449" t="s">
        <v>395</v>
      </c>
      <c r="C103" s="449" t="s">
        <v>396</v>
      </c>
      <c r="D103" s="449" t="s">
        <v>250</v>
      </c>
      <c r="E103" s="449" t="s">
        <v>188</v>
      </c>
      <c r="F103" s="456"/>
      <c r="G103" s="456"/>
      <c r="H103" s="456"/>
      <c r="I103" s="456"/>
      <c r="J103" s="456"/>
      <c r="K103" s="456"/>
      <c r="L103" s="456"/>
      <c r="M103" s="456"/>
      <c r="N103" s="456"/>
      <c r="O103" s="456"/>
      <c r="P103" s="456"/>
      <c r="Q103" s="456"/>
      <c r="R103" s="456"/>
      <c r="S103" s="456"/>
      <c r="T103" s="456"/>
    </row>
    <row r="104" spans="1:20" x14ac:dyDescent="0.2">
      <c r="B104" s="376" t="s">
        <v>397</v>
      </c>
      <c r="C104" s="376" t="s">
        <v>398</v>
      </c>
      <c r="D104" s="452" t="s">
        <v>250</v>
      </c>
      <c r="E104" s="452" t="s">
        <v>188</v>
      </c>
      <c r="F104" s="454"/>
      <c r="G104" s="454"/>
      <c r="H104" s="454"/>
      <c r="I104" s="454"/>
      <c r="J104" s="454"/>
      <c r="K104" s="454"/>
      <c r="L104" s="454"/>
      <c r="M104" s="454"/>
      <c r="N104" s="454"/>
      <c r="O104" s="454"/>
      <c r="P104" s="454"/>
      <c r="Q104" s="454"/>
      <c r="R104" s="454"/>
      <c r="S104" s="454"/>
      <c r="T104" s="454"/>
    </row>
    <row r="105" spans="1:20" x14ac:dyDescent="0.2">
      <c r="B105" s="376" t="s">
        <v>399</v>
      </c>
      <c r="C105" s="376" t="s">
        <v>400</v>
      </c>
      <c r="D105" s="452" t="s">
        <v>250</v>
      </c>
      <c r="E105" s="452" t="s">
        <v>188</v>
      </c>
      <c r="F105" s="454"/>
      <c r="G105" s="454"/>
      <c r="H105" s="454"/>
      <c r="I105" s="454"/>
      <c r="J105" s="454"/>
      <c r="K105" s="454"/>
      <c r="L105" s="454"/>
      <c r="M105" s="454"/>
      <c r="N105" s="454"/>
      <c r="O105" s="454"/>
      <c r="P105" s="454"/>
      <c r="Q105" s="454"/>
      <c r="R105" s="454"/>
      <c r="S105" s="454"/>
      <c r="T105" s="454"/>
    </row>
    <row r="106" spans="1:20" x14ac:dyDescent="0.2">
      <c r="B106" s="376" t="s">
        <v>401</v>
      </c>
      <c r="C106" s="376" t="s">
        <v>402</v>
      </c>
      <c r="D106" s="452" t="s">
        <v>250</v>
      </c>
      <c r="E106" s="452" t="s">
        <v>188</v>
      </c>
      <c r="F106" s="454"/>
      <c r="G106" s="454"/>
      <c r="H106" s="454"/>
      <c r="I106" s="454"/>
      <c r="J106" s="454"/>
      <c r="K106" s="454"/>
      <c r="L106" s="454"/>
      <c r="M106" s="454"/>
      <c r="N106" s="454"/>
      <c r="O106" s="454"/>
      <c r="P106" s="454"/>
      <c r="Q106" s="454"/>
      <c r="R106" s="454"/>
      <c r="S106" s="454"/>
      <c r="T106" s="454"/>
    </row>
    <row r="107" spans="1:20" x14ac:dyDescent="0.2">
      <c r="B107" s="376" t="s">
        <v>403</v>
      </c>
      <c r="C107" s="376" t="s">
        <v>404</v>
      </c>
      <c r="D107" s="452" t="s">
        <v>250</v>
      </c>
      <c r="E107" s="452" t="s">
        <v>188</v>
      </c>
      <c r="F107" s="454"/>
      <c r="G107" s="454"/>
      <c r="H107" s="454"/>
      <c r="I107" s="454"/>
      <c r="J107" s="454"/>
      <c r="K107" s="454"/>
      <c r="L107" s="454"/>
      <c r="M107" s="454"/>
      <c r="N107" s="454"/>
      <c r="O107" s="454"/>
      <c r="P107" s="454"/>
      <c r="Q107" s="454"/>
      <c r="R107" s="454"/>
      <c r="S107" s="454"/>
      <c r="T107" s="454"/>
    </row>
    <row r="108" spans="1:20" x14ac:dyDescent="0.2">
      <c r="B108" s="376" t="s">
        <v>405</v>
      </c>
      <c r="C108" s="376" t="s">
        <v>406</v>
      </c>
      <c r="D108" s="452" t="s">
        <v>250</v>
      </c>
      <c r="E108" s="452" t="s">
        <v>188</v>
      </c>
      <c r="F108" s="454"/>
      <c r="G108" s="454"/>
      <c r="H108" s="454"/>
      <c r="I108" s="454"/>
      <c r="J108" s="454"/>
      <c r="K108" s="454"/>
      <c r="L108" s="454"/>
      <c r="M108" s="454"/>
      <c r="N108" s="454"/>
      <c r="O108" s="454"/>
      <c r="P108" s="454"/>
      <c r="Q108" s="454"/>
      <c r="R108" s="454"/>
      <c r="S108" s="454"/>
      <c r="T108" s="454"/>
    </row>
    <row r="109" spans="1:20" x14ac:dyDescent="0.2">
      <c r="B109" s="376" t="s">
        <v>407</v>
      </c>
      <c r="C109" s="376" t="s">
        <v>408</v>
      </c>
      <c r="D109" s="452" t="s">
        <v>250</v>
      </c>
      <c r="E109" s="452" t="s">
        <v>188</v>
      </c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4"/>
      <c r="R109" s="454"/>
      <c r="S109" s="454"/>
      <c r="T109" s="454"/>
    </row>
    <row r="110" spans="1:20" x14ac:dyDescent="0.2">
      <c r="B110" s="376" t="s">
        <v>409</v>
      </c>
      <c r="C110" s="376" t="s">
        <v>410</v>
      </c>
      <c r="D110" s="452" t="s">
        <v>250</v>
      </c>
      <c r="E110" s="452" t="s">
        <v>188</v>
      </c>
      <c r="F110" s="454"/>
      <c r="G110" s="454"/>
      <c r="H110" s="454"/>
      <c r="I110" s="454"/>
      <c r="J110" s="454"/>
      <c r="K110" s="454"/>
      <c r="L110" s="454"/>
      <c r="M110" s="454"/>
      <c r="N110" s="454"/>
      <c r="O110" s="454"/>
      <c r="P110" s="454"/>
      <c r="Q110" s="454"/>
      <c r="R110" s="454"/>
      <c r="S110" s="454"/>
      <c r="T110" s="454"/>
    </row>
    <row r="111" spans="1:20" s="453" customFormat="1" x14ac:dyDescent="0.2">
      <c r="A111" s="449"/>
      <c r="B111" s="449" t="s">
        <v>411</v>
      </c>
      <c r="C111" s="449" t="s">
        <v>412</v>
      </c>
      <c r="D111" s="449" t="s">
        <v>250</v>
      </c>
      <c r="E111" s="449" t="s">
        <v>188</v>
      </c>
      <c r="F111" s="456"/>
      <c r="G111" s="456"/>
      <c r="H111" s="456"/>
      <c r="I111" s="456"/>
      <c r="J111" s="456"/>
      <c r="K111" s="456"/>
      <c r="L111" s="456"/>
      <c r="M111" s="456"/>
      <c r="N111" s="456"/>
      <c r="O111" s="456"/>
      <c r="P111" s="456"/>
      <c r="Q111" s="456"/>
      <c r="R111" s="456"/>
      <c r="S111" s="456"/>
      <c r="T111" s="456"/>
    </row>
    <row r="112" spans="1:20" x14ac:dyDescent="0.2">
      <c r="B112" s="376" t="s">
        <v>413</v>
      </c>
      <c r="C112" s="376" t="s">
        <v>414</v>
      </c>
      <c r="D112" s="452" t="s">
        <v>250</v>
      </c>
      <c r="E112" s="452" t="s">
        <v>188</v>
      </c>
      <c r="F112" s="454"/>
      <c r="G112" s="454"/>
      <c r="H112" s="454"/>
      <c r="I112" s="454"/>
      <c r="J112" s="454"/>
      <c r="K112" s="454"/>
      <c r="L112" s="454"/>
      <c r="M112" s="454"/>
      <c r="N112" s="454"/>
      <c r="O112" s="454"/>
      <c r="P112" s="454"/>
      <c r="Q112" s="454"/>
      <c r="R112" s="454"/>
      <c r="S112" s="454"/>
      <c r="T112" s="454"/>
    </row>
    <row r="113" spans="1:20" x14ac:dyDescent="0.2">
      <c r="B113" s="376" t="s">
        <v>415</v>
      </c>
      <c r="C113" s="376" t="s">
        <v>416</v>
      </c>
      <c r="D113" s="452" t="s">
        <v>250</v>
      </c>
      <c r="E113" s="452" t="s">
        <v>188</v>
      </c>
      <c r="F113" s="454"/>
      <c r="G113" s="454"/>
      <c r="H113" s="454"/>
      <c r="I113" s="454"/>
      <c r="J113" s="454"/>
      <c r="K113" s="454"/>
      <c r="L113" s="454"/>
      <c r="M113" s="454"/>
      <c r="N113" s="454"/>
      <c r="O113" s="454"/>
      <c r="P113" s="454"/>
      <c r="Q113" s="454"/>
      <c r="R113" s="454"/>
      <c r="S113" s="454"/>
      <c r="T113" s="454"/>
    </row>
    <row r="114" spans="1:20" x14ac:dyDescent="0.2">
      <c r="B114" s="376" t="s">
        <v>417</v>
      </c>
      <c r="C114" s="376" t="s">
        <v>418</v>
      </c>
      <c r="D114" s="452" t="s">
        <v>250</v>
      </c>
      <c r="E114" s="452" t="s">
        <v>188</v>
      </c>
      <c r="F114" s="454"/>
      <c r="G114" s="454"/>
      <c r="H114" s="454"/>
      <c r="I114" s="454"/>
      <c r="J114" s="454"/>
      <c r="K114" s="454"/>
      <c r="L114" s="454"/>
      <c r="M114" s="454"/>
      <c r="N114" s="454"/>
      <c r="O114" s="454"/>
      <c r="P114" s="454"/>
      <c r="Q114" s="454"/>
      <c r="R114" s="454"/>
      <c r="S114" s="454"/>
      <c r="T114" s="454"/>
    </row>
    <row r="115" spans="1:20" x14ac:dyDescent="0.2">
      <c r="B115" s="376" t="s">
        <v>419</v>
      </c>
      <c r="C115" s="376" t="s">
        <v>420</v>
      </c>
      <c r="D115" s="452" t="s">
        <v>250</v>
      </c>
      <c r="E115" s="452" t="s">
        <v>188</v>
      </c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</row>
    <row r="116" spans="1:20" x14ac:dyDescent="0.2">
      <c r="B116" s="376" t="s">
        <v>421</v>
      </c>
      <c r="C116" s="376" t="s">
        <v>422</v>
      </c>
      <c r="D116" s="452" t="s">
        <v>250</v>
      </c>
      <c r="E116" s="452" t="s">
        <v>188</v>
      </c>
      <c r="F116" s="454"/>
      <c r="G116" s="454"/>
      <c r="H116" s="454"/>
      <c r="I116" s="454"/>
      <c r="J116" s="454"/>
      <c r="K116" s="454"/>
      <c r="L116" s="454"/>
      <c r="M116" s="454"/>
      <c r="N116" s="454"/>
      <c r="O116" s="454"/>
      <c r="P116" s="454"/>
      <c r="Q116" s="454"/>
      <c r="R116" s="454"/>
      <c r="S116" s="454"/>
      <c r="T116" s="454"/>
    </row>
    <row r="117" spans="1:20" x14ac:dyDescent="0.2">
      <c r="B117" s="376" t="s">
        <v>423</v>
      </c>
      <c r="C117" s="376" t="s">
        <v>424</v>
      </c>
      <c r="D117" s="452" t="s">
        <v>250</v>
      </c>
      <c r="E117" s="452" t="s">
        <v>188</v>
      </c>
      <c r="F117" s="454"/>
      <c r="G117" s="454"/>
      <c r="H117" s="454"/>
      <c r="I117" s="454"/>
      <c r="J117" s="454"/>
      <c r="K117" s="454"/>
      <c r="L117" s="454"/>
      <c r="M117" s="454"/>
      <c r="N117" s="454"/>
      <c r="O117" s="454"/>
      <c r="P117" s="454"/>
      <c r="Q117" s="454"/>
      <c r="R117" s="454"/>
      <c r="S117" s="454"/>
      <c r="T117" s="454"/>
    </row>
    <row r="118" spans="1:20" x14ac:dyDescent="0.2">
      <c r="B118" s="376" t="s">
        <v>425</v>
      </c>
      <c r="C118" s="376" t="s">
        <v>426</v>
      </c>
      <c r="D118" s="452" t="s">
        <v>250</v>
      </c>
      <c r="E118" s="452" t="s">
        <v>188</v>
      </c>
      <c r="F118" s="454"/>
      <c r="G118" s="454"/>
      <c r="H118" s="454"/>
      <c r="I118" s="454"/>
      <c r="J118" s="454"/>
      <c r="K118" s="454"/>
      <c r="L118" s="454"/>
      <c r="M118" s="454"/>
      <c r="N118" s="454"/>
      <c r="O118" s="454"/>
      <c r="P118" s="454"/>
      <c r="Q118" s="454"/>
      <c r="R118" s="454"/>
      <c r="S118" s="454"/>
      <c r="T118" s="454"/>
    </row>
    <row r="119" spans="1:20" s="453" customFormat="1" x14ac:dyDescent="0.2">
      <c r="A119" s="449"/>
      <c r="B119" s="449" t="s">
        <v>427</v>
      </c>
      <c r="C119" s="449" t="s">
        <v>428</v>
      </c>
      <c r="D119" s="449" t="s">
        <v>250</v>
      </c>
      <c r="E119" s="449" t="s">
        <v>188</v>
      </c>
      <c r="F119" s="456"/>
      <c r="G119" s="456"/>
      <c r="H119" s="456"/>
      <c r="I119" s="456"/>
      <c r="J119" s="456"/>
      <c r="K119" s="456"/>
      <c r="L119" s="456"/>
      <c r="M119" s="456"/>
      <c r="N119" s="456"/>
      <c r="O119" s="456"/>
      <c r="P119" s="456"/>
      <c r="Q119" s="456"/>
      <c r="R119" s="456"/>
      <c r="S119" s="456"/>
      <c r="T119" s="456"/>
    </row>
    <row r="120" spans="1:20" x14ac:dyDescent="0.2">
      <c r="B120" s="376" t="s">
        <v>429</v>
      </c>
      <c r="C120" s="376" t="s">
        <v>430</v>
      </c>
      <c r="D120" s="452" t="s">
        <v>250</v>
      </c>
      <c r="E120" s="452" t="s">
        <v>188</v>
      </c>
      <c r="F120" s="454"/>
      <c r="G120" s="454"/>
      <c r="H120" s="454"/>
      <c r="I120" s="454"/>
      <c r="J120" s="454"/>
      <c r="K120" s="454"/>
      <c r="L120" s="454"/>
      <c r="M120" s="454"/>
      <c r="N120" s="454"/>
      <c r="O120" s="454"/>
      <c r="P120" s="454"/>
      <c r="Q120" s="454"/>
      <c r="R120" s="454"/>
      <c r="S120" s="454"/>
      <c r="T120" s="454"/>
    </row>
    <row r="121" spans="1:20" x14ac:dyDescent="0.2">
      <c r="B121" s="376" t="s">
        <v>431</v>
      </c>
      <c r="C121" s="376" t="s">
        <v>432</v>
      </c>
      <c r="D121" s="452" t="s">
        <v>250</v>
      </c>
      <c r="E121" s="452" t="s">
        <v>188</v>
      </c>
      <c r="F121" s="454"/>
      <c r="G121" s="454"/>
      <c r="H121" s="454"/>
      <c r="I121" s="454"/>
      <c r="J121" s="454"/>
      <c r="K121" s="454"/>
      <c r="L121" s="454"/>
      <c r="M121" s="454"/>
      <c r="N121" s="454"/>
      <c r="O121" s="454"/>
      <c r="P121" s="454"/>
      <c r="Q121" s="454"/>
      <c r="R121" s="454"/>
      <c r="S121" s="454"/>
      <c r="T121" s="454"/>
    </row>
    <row r="122" spans="1:20" x14ac:dyDescent="0.2">
      <c r="B122" s="376" t="s">
        <v>433</v>
      </c>
      <c r="C122" s="376" t="s">
        <v>434</v>
      </c>
      <c r="D122" s="452" t="s">
        <v>250</v>
      </c>
      <c r="E122" s="452" t="s">
        <v>188</v>
      </c>
      <c r="F122" s="454"/>
      <c r="G122" s="454"/>
      <c r="H122" s="454"/>
      <c r="I122" s="454"/>
      <c r="J122" s="454"/>
      <c r="K122" s="454"/>
      <c r="L122" s="454"/>
      <c r="M122" s="454"/>
      <c r="N122" s="454"/>
      <c r="O122" s="454"/>
      <c r="P122" s="454"/>
      <c r="Q122" s="454"/>
      <c r="R122" s="454"/>
      <c r="S122" s="454"/>
      <c r="T122" s="454"/>
    </row>
    <row r="123" spans="1:20" x14ac:dyDescent="0.2">
      <c r="B123" s="376" t="s">
        <v>435</v>
      </c>
      <c r="C123" s="376" t="s">
        <v>436</v>
      </c>
      <c r="D123" s="452" t="s">
        <v>250</v>
      </c>
      <c r="E123" s="452" t="s">
        <v>188</v>
      </c>
      <c r="F123" s="454"/>
      <c r="G123" s="454"/>
      <c r="H123" s="454"/>
      <c r="I123" s="454"/>
      <c r="J123" s="454"/>
      <c r="K123" s="454"/>
      <c r="L123" s="454"/>
      <c r="M123" s="454"/>
      <c r="N123" s="454"/>
      <c r="O123" s="454"/>
      <c r="P123" s="454"/>
      <c r="Q123" s="454"/>
      <c r="R123" s="454"/>
      <c r="S123" s="454"/>
      <c r="T123" s="454"/>
    </row>
    <row r="124" spans="1:20" x14ac:dyDescent="0.2">
      <c r="B124" s="376" t="s">
        <v>437</v>
      </c>
      <c r="C124" s="376" t="s">
        <v>438</v>
      </c>
      <c r="D124" s="452" t="s">
        <v>250</v>
      </c>
      <c r="E124" s="452" t="s">
        <v>188</v>
      </c>
      <c r="F124" s="454"/>
      <c r="G124" s="454"/>
      <c r="H124" s="454"/>
      <c r="I124" s="454"/>
      <c r="J124" s="454"/>
      <c r="K124" s="454"/>
      <c r="L124" s="454"/>
      <c r="M124" s="454"/>
      <c r="N124" s="454"/>
      <c r="O124" s="454"/>
      <c r="P124" s="454"/>
      <c r="Q124" s="454"/>
      <c r="R124" s="454"/>
      <c r="S124" s="454"/>
      <c r="T124" s="454"/>
    </row>
    <row r="125" spans="1:20" x14ac:dyDescent="0.2">
      <c r="B125" s="376" t="s">
        <v>439</v>
      </c>
      <c r="C125" s="376" t="s">
        <v>440</v>
      </c>
      <c r="D125" s="452" t="s">
        <v>250</v>
      </c>
      <c r="E125" s="452" t="s">
        <v>188</v>
      </c>
      <c r="F125" s="454"/>
      <c r="G125" s="454"/>
      <c r="H125" s="454"/>
      <c r="I125" s="454"/>
      <c r="J125" s="454"/>
      <c r="K125" s="454"/>
      <c r="L125" s="454"/>
      <c r="M125" s="454"/>
      <c r="N125" s="454"/>
      <c r="O125" s="454"/>
      <c r="P125" s="454"/>
      <c r="Q125" s="454"/>
      <c r="R125" s="454"/>
      <c r="S125" s="454"/>
      <c r="T125" s="454"/>
    </row>
    <row r="126" spans="1:20" x14ac:dyDescent="0.2">
      <c r="B126" s="376" t="s">
        <v>441</v>
      </c>
      <c r="C126" s="376" t="s">
        <v>442</v>
      </c>
      <c r="D126" s="452" t="s">
        <v>250</v>
      </c>
      <c r="E126" s="452" t="s">
        <v>188</v>
      </c>
      <c r="F126" s="454"/>
      <c r="G126" s="454"/>
      <c r="H126" s="454"/>
      <c r="I126" s="454"/>
      <c r="J126" s="454"/>
      <c r="K126" s="454"/>
      <c r="L126" s="454"/>
      <c r="M126" s="454"/>
      <c r="N126" s="454"/>
      <c r="O126" s="454"/>
      <c r="P126" s="454"/>
      <c r="Q126" s="454"/>
      <c r="R126" s="454"/>
      <c r="S126" s="454"/>
      <c r="T126" s="454"/>
    </row>
    <row r="127" spans="1:20" s="453" customFormat="1" x14ac:dyDescent="0.2">
      <c r="A127" s="449"/>
      <c r="B127" s="449" t="s">
        <v>443</v>
      </c>
      <c r="C127" s="449" t="s">
        <v>444</v>
      </c>
      <c r="D127" s="449" t="s">
        <v>250</v>
      </c>
      <c r="E127" s="449" t="s">
        <v>188</v>
      </c>
      <c r="F127" s="456"/>
      <c r="G127" s="456"/>
      <c r="H127" s="456"/>
      <c r="I127" s="456"/>
      <c r="J127" s="456"/>
      <c r="K127" s="456"/>
      <c r="L127" s="456"/>
      <c r="M127" s="456"/>
      <c r="N127" s="456"/>
      <c r="O127" s="456"/>
      <c r="P127" s="456"/>
      <c r="Q127" s="456"/>
      <c r="R127" s="456"/>
      <c r="S127" s="456"/>
      <c r="T127" s="456"/>
    </row>
    <row r="128" spans="1:20" x14ac:dyDescent="0.2">
      <c r="B128" s="376" t="s">
        <v>445</v>
      </c>
      <c r="C128" s="376" t="s">
        <v>446</v>
      </c>
      <c r="D128" s="452" t="s">
        <v>250</v>
      </c>
      <c r="E128" s="452" t="s">
        <v>188</v>
      </c>
      <c r="F128" s="454"/>
      <c r="G128" s="454"/>
      <c r="H128" s="454"/>
      <c r="I128" s="454"/>
      <c r="J128" s="454"/>
      <c r="K128" s="454"/>
      <c r="L128" s="454"/>
      <c r="M128" s="454"/>
      <c r="N128" s="454"/>
      <c r="O128" s="454"/>
      <c r="P128" s="454"/>
      <c r="Q128" s="454"/>
      <c r="R128" s="454"/>
      <c r="S128" s="454"/>
      <c r="T128" s="454"/>
    </row>
    <row r="129" spans="1:20" x14ac:dyDescent="0.2">
      <c r="B129" s="376" t="s">
        <v>447</v>
      </c>
      <c r="C129" s="376" t="s">
        <v>448</v>
      </c>
      <c r="D129" s="452" t="s">
        <v>250</v>
      </c>
      <c r="E129" s="452" t="s">
        <v>188</v>
      </c>
      <c r="F129" s="454"/>
      <c r="G129" s="454"/>
      <c r="H129" s="454"/>
      <c r="I129" s="454"/>
      <c r="J129" s="454"/>
      <c r="K129" s="454"/>
      <c r="L129" s="454"/>
      <c r="M129" s="454"/>
      <c r="N129" s="454"/>
      <c r="O129" s="454"/>
      <c r="P129" s="454"/>
      <c r="Q129" s="454"/>
      <c r="R129" s="454"/>
      <c r="S129" s="454"/>
      <c r="T129" s="454"/>
    </row>
    <row r="130" spans="1:20" x14ac:dyDescent="0.2">
      <c r="A130" s="449"/>
      <c r="B130" s="449" t="s">
        <v>449</v>
      </c>
      <c r="C130" s="449" t="s">
        <v>450</v>
      </c>
      <c r="D130" s="449" t="s">
        <v>250</v>
      </c>
      <c r="E130" s="449" t="s">
        <v>188</v>
      </c>
      <c r="F130" s="456"/>
      <c r="G130" s="456"/>
      <c r="H130" s="456"/>
      <c r="I130" s="456"/>
      <c r="J130" s="456"/>
      <c r="K130" s="456"/>
      <c r="L130" s="456"/>
      <c r="M130" s="456"/>
      <c r="N130" s="456"/>
      <c r="O130" s="456"/>
      <c r="P130" s="456"/>
      <c r="Q130" s="456"/>
      <c r="R130" s="456"/>
      <c r="S130" s="456"/>
      <c r="T130" s="456"/>
    </row>
    <row r="131" spans="1:20" x14ac:dyDescent="0.2">
      <c r="B131" s="376" t="s">
        <v>451</v>
      </c>
      <c r="C131" s="376" t="s">
        <v>452</v>
      </c>
      <c r="D131" s="452" t="s">
        <v>250</v>
      </c>
      <c r="E131" s="452" t="s">
        <v>188</v>
      </c>
      <c r="F131" s="454"/>
      <c r="G131" s="454"/>
      <c r="H131" s="454"/>
      <c r="I131" s="454"/>
      <c r="J131" s="454"/>
      <c r="K131" s="454"/>
      <c r="L131" s="454"/>
      <c r="M131" s="454"/>
      <c r="N131" s="454"/>
      <c r="O131" s="454"/>
      <c r="P131" s="454"/>
      <c r="Q131" s="454"/>
      <c r="R131" s="454"/>
      <c r="S131" s="454"/>
      <c r="T131" s="454"/>
    </row>
    <row r="132" spans="1:20" x14ac:dyDescent="0.2">
      <c r="B132" s="376" t="s">
        <v>453</v>
      </c>
      <c r="C132" s="376" t="s">
        <v>454</v>
      </c>
      <c r="D132" s="452" t="s">
        <v>250</v>
      </c>
      <c r="E132" s="452" t="s">
        <v>188</v>
      </c>
      <c r="F132" s="454"/>
      <c r="G132" s="454"/>
      <c r="H132" s="454"/>
      <c r="I132" s="454"/>
      <c r="J132" s="454"/>
      <c r="K132" s="454"/>
      <c r="L132" s="454"/>
      <c r="M132" s="454"/>
      <c r="N132" s="454"/>
      <c r="O132" s="454"/>
      <c r="P132" s="454"/>
      <c r="Q132" s="454"/>
      <c r="R132" s="454"/>
      <c r="S132" s="454"/>
      <c r="T132" s="454"/>
    </row>
    <row r="133" spans="1:20" x14ac:dyDescent="0.2">
      <c r="B133" s="376" t="s">
        <v>455</v>
      </c>
      <c r="C133" s="376" t="s">
        <v>456</v>
      </c>
      <c r="D133" s="452" t="s">
        <v>250</v>
      </c>
      <c r="E133" s="452" t="s">
        <v>188</v>
      </c>
      <c r="F133" s="454"/>
      <c r="G133" s="454"/>
      <c r="H133" s="454"/>
      <c r="I133" s="454"/>
      <c r="J133" s="454"/>
      <c r="K133" s="454"/>
      <c r="L133" s="454"/>
      <c r="M133" s="454"/>
      <c r="N133" s="454"/>
      <c r="O133" s="454"/>
      <c r="P133" s="454"/>
      <c r="Q133" s="454"/>
      <c r="R133" s="454"/>
      <c r="S133" s="454"/>
      <c r="T133" s="454"/>
    </row>
    <row r="134" spans="1:20" x14ac:dyDescent="0.2">
      <c r="B134" s="376" t="s">
        <v>457</v>
      </c>
      <c r="C134" s="376" t="s">
        <v>458</v>
      </c>
      <c r="D134" s="452" t="s">
        <v>250</v>
      </c>
      <c r="E134" s="452" t="s">
        <v>188</v>
      </c>
      <c r="F134" s="454"/>
      <c r="G134" s="454"/>
      <c r="H134" s="454"/>
      <c r="I134" s="454"/>
      <c r="J134" s="454"/>
      <c r="K134" s="454"/>
      <c r="L134" s="454"/>
      <c r="M134" s="454"/>
      <c r="N134" s="454"/>
      <c r="O134" s="454"/>
      <c r="P134" s="454"/>
      <c r="Q134" s="454"/>
      <c r="R134" s="454"/>
      <c r="S134" s="454"/>
      <c r="T134" s="454"/>
    </row>
    <row r="135" spans="1:20" x14ac:dyDescent="0.2">
      <c r="B135" s="376" t="s">
        <v>459</v>
      </c>
      <c r="C135" s="376" t="s">
        <v>460</v>
      </c>
      <c r="D135" s="452" t="s">
        <v>250</v>
      </c>
      <c r="E135" s="452" t="s">
        <v>188</v>
      </c>
      <c r="F135" s="454"/>
      <c r="G135" s="454"/>
      <c r="H135" s="454"/>
      <c r="I135" s="454"/>
      <c r="J135" s="454"/>
      <c r="K135" s="454"/>
      <c r="L135" s="454"/>
      <c r="M135" s="454"/>
      <c r="N135" s="454"/>
      <c r="O135" s="454"/>
      <c r="P135" s="454"/>
      <c r="Q135" s="454"/>
      <c r="R135" s="454"/>
      <c r="S135" s="454"/>
      <c r="T135" s="454"/>
    </row>
    <row r="136" spans="1:20" x14ac:dyDescent="0.2">
      <c r="B136" s="376" t="s">
        <v>461</v>
      </c>
      <c r="C136" s="376" t="s">
        <v>462</v>
      </c>
      <c r="D136" s="452" t="s">
        <v>250</v>
      </c>
      <c r="E136" s="452" t="s">
        <v>188</v>
      </c>
      <c r="F136" s="454"/>
      <c r="G136" s="454"/>
      <c r="H136" s="454"/>
      <c r="I136" s="454"/>
      <c r="J136" s="454"/>
      <c r="K136" s="454"/>
      <c r="L136" s="454"/>
      <c r="M136" s="454"/>
      <c r="N136" s="454"/>
      <c r="O136" s="454"/>
      <c r="P136" s="454"/>
      <c r="Q136" s="454"/>
      <c r="R136" s="454"/>
      <c r="S136" s="454"/>
      <c r="T136" s="454"/>
    </row>
    <row r="137" spans="1:20" x14ac:dyDescent="0.2">
      <c r="A137" s="449"/>
      <c r="B137" s="449" t="s">
        <v>463</v>
      </c>
      <c r="C137" s="449" t="s">
        <v>464</v>
      </c>
      <c r="D137" s="449" t="s">
        <v>250</v>
      </c>
      <c r="E137" s="449" t="s">
        <v>188</v>
      </c>
      <c r="F137" s="456"/>
      <c r="G137" s="456"/>
      <c r="H137" s="456"/>
      <c r="I137" s="456"/>
      <c r="J137" s="456"/>
      <c r="K137" s="456"/>
      <c r="L137" s="456"/>
      <c r="M137" s="456"/>
      <c r="N137" s="456"/>
      <c r="O137" s="456"/>
      <c r="P137" s="456"/>
      <c r="Q137" s="456"/>
      <c r="R137" s="456"/>
      <c r="S137" s="456"/>
      <c r="T137" s="456"/>
    </row>
    <row r="138" spans="1:20" x14ac:dyDescent="0.2">
      <c r="B138" s="376" t="s">
        <v>465</v>
      </c>
      <c r="C138" s="376" t="s">
        <v>382</v>
      </c>
      <c r="D138" s="452" t="s">
        <v>250</v>
      </c>
      <c r="E138" s="452" t="s">
        <v>188</v>
      </c>
      <c r="F138" s="454"/>
      <c r="G138" s="454"/>
      <c r="H138" s="454"/>
      <c r="I138" s="454"/>
      <c r="J138" s="454"/>
      <c r="K138" s="454"/>
      <c r="L138" s="454"/>
      <c r="M138" s="454"/>
      <c r="N138" s="454"/>
      <c r="O138" s="454"/>
      <c r="P138" s="454"/>
      <c r="Q138" s="454"/>
      <c r="R138" s="454"/>
      <c r="S138" s="454"/>
      <c r="T138" s="454"/>
    </row>
    <row r="139" spans="1:20" x14ac:dyDescent="0.2">
      <c r="B139" s="376" t="s">
        <v>466</v>
      </c>
      <c r="C139" s="376" t="s">
        <v>384</v>
      </c>
      <c r="D139" s="452" t="s">
        <v>250</v>
      </c>
      <c r="E139" s="452" t="s">
        <v>188</v>
      </c>
      <c r="F139" s="454"/>
      <c r="G139" s="454"/>
      <c r="H139" s="454"/>
      <c r="I139" s="454"/>
      <c r="J139" s="454"/>
      <c r="K139" s="454"/>
      <c r="L139" s="454"/>
      <c r="M139" s="454"/>
      <c r="N139" s="454"/>
      <c r="O139" s="454"/>
      <c r="P139" s="454"/>
      <c r="Q139" s="454"/>
      <c r="R139" s="454"/>
      <c r="S139" s="454"/>
      <c r="T139" s="454"/>
    </row>
    <row r="140" spans="1:20" x14ac:dyDescent="0.2">
      <c r="B140" s="376" t="s">
        <v>467</v>
      </c>
      <c r="C140" s="376" t="s">
        <v>386</v>
      </c>
      <c r="D140" s="452" t="s">
        <v>250</v>
      </c>
      <c r="E140" s="452" t="s">
        <v>188</v>
      </c>
      <c r="F140" s="454"/>
      <c r="G140" s="454"/>
      <c r="H140" s="454"/>
      <c r="I140" s="454"/>
      <c r="J140" s="454"/>
      <c r="K140" s="454"/>
      <c r="L140" s="454"/>
      <c r="M140" s="454"/>
      <c r="N140" s="454"/>
      <c r="O140" s="454"/>
      <c r="P140" s="454"/>
      <c r="Q140" s="454"/>
      <c r="R140" s="454"/>
      <c r="S140" s="454"/>
      <c r="T140" s="454"/>
    </row>
    <row r="141" spans="1:20" x14ac:dyDescent="0.2">
      <c r="B141" s="376" t="s">
        <v>468</v>
      </c>
      <c r="C141" s="376" t="s">
        <v>388</v>
      </c>
      <c r="D141" s="452" t="s">
        <v>250</v>
      </c>
      <c r="E141" s="452" t="s">
        <v>188</v>
      </c>
      <c r="F141" s="454"/>
      <c r="G141" s="454"/>
      <c r="H141" s="454"/>
      <c r="I141" s="454"/>
      <c r="J141" s="454"/>
      <c r="K141" s="454"/>
      <c r="L141" s="454"/>
      <c r="M141" s="454"/>
      <c r="N141" s="454"/>
      <c r="O141" s="454"/>
      <c r="P141" s="454"/>
      <c r="Q141" s="454"/>
      <c r="R141" s="454"/>
      <c r="S141" s="454"/>
      <c r="T141" s="454"/>
    </row>
    <row r="142" spans="1:20" x14ac:dyDescent="0.2">
      <c r="B142" s="376" t="s">
        <v>469</v>
      </c>
      <c r="C142" s="376" t="s">
        <v>390</v>
      </c>
      <c r="D142" s="452" t="s">
        <v>250</v>
      </c>
      <c r="E142" s="452" t="s">
        <v>188</v>
      </c>
      <c r="F142" s="454"/>
      <c r="G142" s="454"/>
      <c r="H142" s="454"/>
      <c r="I142" s="454"/>
      <c r="J142" s="454"/>
      <c r="K142" s="454"/>
      <c r="L142" s="454"/>
      <c r="M142" s="454"/>
      <c r="N142" s="454"/>
      <c r="O142" s="454"/>
      <c r="P142" s="454"/>
      <c r="Q142" s="454"/>
      <c r="R142" s="454"/>
      <c r="S142" s="454"/>
      <c r="T142" s="454"/>
    </row>
    <row r="143" spans="1:20" x14ac:dyDescent="0.2">
      <c r="B143" s="376" t="s">
        <v>470</v>
      </c>
      <c r="C143" s="376" t="s">
        <v>392</v>
      </c>
      <c r="D143" s="452" t="s">
        <v>250</v>
      </c>
      <c r="E143" s="452" t="s">
        <v>188</v>
      </c>
      <c r="F143" s="454"/>
      <c r="G143" s="454"/>
      <c r="H143" s="454"/>
      <c r="I143" s="454"/>
      <c r="J143" s="454"/>
      <c r="K143" s="454"/>
      <c r="L143" s="454"/>
      <c r="M143" s="454"/>
      <c r="N143" s="454"/>
      <c r="O143" s="454"/>
      <c r="P143" s="454"/>
      <c r="Q143" s="454"/>
      <c r="R143" s="454"/>
      <c r="S143" s="454"/>
      <c r="T143" s="454"/>
    </row>
    <row r="144" spans="1:20" x14ac:dyDescent="0.2">
      <c r="B144" s="376" t="s">
        <v>471</v>
      </c>
      <c r="C144" s="376" t="s">
        <v>394</v>
      </c>
      <c r="D144" s="452" t="s">
        <v>250</v>
      </c>
      <c r="E144" s="452" t="s">
        <v>188</v>
      </c>
      <c r="F144" s="454"/>
      <c r="G144" s="454"/>
      <c r="H144" s="454"/>
      <c r="I144" s="454"/>
      <c r="J144" s="454"/>
      <c r="K144" s="454"/>
      <c r="L144" s="454"/>
      <c r="M144" s="454"/>
      <c r="N144" s="454"/>
      <c r="O144" s="454"/>
      <c r="P144" s="454"/>
      <c r="Q144" s="454"/>
      <c r="R144" s="454"/>
      <c r="S144" s="454"/>
      <c r="T144" s="454"/>
    </row>
    <row r="145" spans="1:20" s="453" customFormat="1" x14ac:dyDescent="0.2">
      <c r="A145" s="449"/>
      <c r="B145" s="449" t="s">
        <v>472</v>
      </c>
      <c r="C145" s="449" t="s">
        <v>396</v>
      </c>
      <c r="D145" s="449" t="s">
        <v>250</v>
      </c>
      <c r="E145" s="449" t="s">
        <v>188</v>
      </c>
      <c r="F145" s="456"/>
      <c r="G145" s="456"/>
      <c r="H145" s="456"/>
      <c r="I145" s="456"/>
      <c r="J145" s="456"/>
      <c r="K145" s="456"/>
      <c r="L145" s="456"/>
      <c r="M145" s="456"/>
      <c r="N145" s="456"/>
      <c r="O145" s="456"/>
      <c r="P145" s="456"/>
      <c r="Q145" s="456"/>
      <c r="R145" s="456"/>
      <c r="S145" s="456"/>
      <c r="T145" s="456"/>
    </row>
    <row r="146" spans="1:20" x14ac:dyDescent="0.2">
      <c r="B146" s="376" t="s">
        <v>473</v>
      </c>
      <c r="C146" s="376" t="s">
        <v>398</v>
      </c>
      <c r="D146" s="452" t="s">
        <v>250</v>
      </c>
      <c r="E146" s="452" t="s">
        <v>188</v>
      </c>
      <c r="F146" s="454"/>
      <c r="G146" s="454"/>
      <c r="H146" s="454"/>
      <c r="I146" s="454"/>
      <c r="J146" s="454"/>
      <c r="K146" s="454"/>
      <c r="L146" s="454"/>
      <c r="M146" s="454"/>
      <c r="N146" s="454"/>
      <c r="O146" s="454"/>
      <c r="P146" s="454"/>
      <c r="Q146" s="454"/>
      <c r="R146" s="454"/>
      <c r="S146" s="454"/>
      <c r="T146" s="454"/>
    </row>
    <row r="147" spans="1:20" x14ac:dyDescent="0.2">
      <c r="B147" s="376" t="s">
        <v>474</v>
      </c>
      <c r="C147" s="376" t="s">
        <v>400</v>
      </c>
      <c r="D147" s="452" t="s">
        <v>250</v>
      </c>
      <c r="E147" s="452" t="s">
        <v>188</v>
      </c>
      <c r="F147" s="454"/>
      <c r="G147" s="454"/>
      <c r="H147" s="454"/>
      <c r="I147" s="454"/>
      <c r="J147" s="454"/>
      <c r="K147" s="454"/>
      <c r="L147" s="454"/>
      <c r="M147" s="454"/>
      <c r="N147" s="454"/>
      <c r="O147" s="454"/>
      <c r="P147" s="454"/>
      <c r="Q147" s="454"/>
      <c r="R147" s="454"/>
      <c r="S147" s="454"/>
      <c r="T147" s="454"/>
    </row>
    <row r="148" spans="1:20" x14ac:dyDescent="0.2">
      <c r="B148" s="376" t="s">
        <v>475</v>
      </c>
      <c r="C148" s="376" t="s">
        <v>402</v>
      </c>
      <c r="D148" s="452" t="s">
        <v>250</v>
      </c>
      <c r="E148" s="452" t="s">
        <v>188</v>
      </c>
      <c r="F148" s="454"/>
      <c r="G148" s="454"/>
      <c r="H148" s="454"/>
      <c r="I148" s="454"/>
      <c r="J148" s="454"/>
      <c r="K148" s="454"/>
      <c r="L148" s="454"/>
      <c r="M148" s="454"/>
      <c r="N148" s="454"/>
      <c r="O148" s="454"/>
      <c r="P148" s="454"/>
      <c r="Q148" s="454"/>
      <c r="R148" s="454"/>
      <c r="S148" s="454"/>
      <c r="T148" s="454"/>
    </row>
    <row r="149" spans="1:20" x14ac:dyDescent="0.2">
      <c r="B149" s="376" t="s">
        <v>476</v>
      </c>
      <c r="C149" s="376" t="s">
        <v>404</v>
      </c>
      <c r="D149" s="452" t="s">
        <v>250</v>
      </c>
      <c r="E149" s="452" t="s">
        <v>188</v>
      </c>
      <c r="F149" s="454"/>
      <c r="G149" s="454"/>
      <c r="H149" s="454"/>
      <c r="I149" s="454"/>
      <c r="J149" s="454"/>
      <c r="K149" s="454"/>
      <c r="L149" s="454"/>
      <c r="M149" s="454"/>
      <c r="N149" s="454"/>
      <c r="O149" s="454"/>
      <c r="P149" s="454"/>
      <c r="Q149" s="454"/>
      <c r="R149" s="454"/>
      <c r="S149" s="454"/>
      <c r="T149" s="454"/>
    </row>
    <row r="150" spans="1:20" x14ac:dyDescent="0.2">
      <c r="B150" s="376" t="s">
        <v>477</v>
      </c>
      <c r="C150" s="376" t="s">
        <v>406</v>
      </c>
      <c r="D150" s="452" t="s">
        <v>250</v>
      </c>
      <c r="E150" s="452" t="s">
        <v>188</v>
      </c>
      <c r="F150" s="454"/>
      <c r="G150" s="454"/>
      <c r="H150" s="454"/>
      <c r="I150" s="454"/>
      <c r="J150" s="454"/>
      <c r="K150" s="454"/>
      <c r="L150" s="454"/>
      <c r="M150" s="454"/>
      <c r="N150" s="454"/>
      <c r="O150" s="454"/>
      <c r="P150" s="454"/>
      <c r="Q150" s="454"/>
      <c r="R150" s="454"/>
      <c r="S150" s="454"/>
      <c r="T150" s="454"/>
    </row>
    <row r="151" spans="1:20" x14ac:dyDescent="0.2">
      <c r="B151" s="376" t="s">
        <v>478</v>
      </c>
      <c r="C151" s="376" t="s">
        <v>408</v>
      </c>
      <c r="D151" s="452" t="s">
        <v>250</v>
      </c>
      <c r="E151" s="452" t="s">
        <v>188</v>
      </c>
      <c r="F151" s="454"/>
      <c r="G151" s="454"/>
      <c r="H151" s="454"/>
      <c r="I151" s="454"/>
      <c r="J151" s="454"/>
      <c r="K151" s="454"/>
      <c r="L151" s="454"/>
      <c r="M151" s="454"/>
      <c r="N151" s="454"/>
      <c r="O151" s="454"/>
      <c r="P151" s="454"/>
      <c r="Q151" s="454"/>
      <c r="R151" s="454"/>
      <c r="S151" s="454"/>
      <c r="T151" s="454"/>
    </row>
    <row r="152" spans="1:20" x14ac:dyDescent="0.2">
      <c r="B152" s="376" t="s">
        <v>479</v>
      </c>
      <c r="C152" s="376" t="s">
        <v>410</v>
      </c>
      <c r="D152" s="452" t="s">
        <v>250</v>
      </c>
      <c r="E152" s="452" t="s">
        <v>188</v>
      </c>
      <c r="F152" s="454"/>
      <c r="G152" s="454"/>
      <c r="H152" s="454"/>
      <c r="I152" s="454"/>
      <c r="J152" s="454"/>
      <c r="K152" s="454"/>
      <c r="L152" s="454"/>
      <c r="M152" s="454"/>
      <c r="N152" s="454"/>
      <c r="O152" s="454"/>
      <c r="P152" s="454"/>
      <c r="Q152" s="454"/>
      <c r="R152" s="454"/>
      <c r="S152" s="454"/>
      <c r="T152" s="454"/>
    </row>
    <row r="153" spans="1:20" s="453" customFormat="1" x14ac:dyDescent="0.2">
      <c r="A153" s="449"/>
      <c r="B153" s="449" t="s">
        <v>480</v>
      </c>
      <c r="C153" s="449" t="s">
        <v>412</v>
      </c>
      <c r="D153" s="449" t="s">
        <v>250</v>
      </c>
      <c r="E153" s="449" t="s">
        <v>188</v>
      </c>
      <c r="F153" s="456"/>
      <c r="G153" s="456"/>
      <c r="H153" s="456"/>
      <c r="I153" s="456"/>
      <c r="J153" s="456"/>
      <c r="K153" s="456"/>
      <c r="L153" s="456"/>
      <c r="M153" s="456"/>
      <c r="N153" s="456"/>
      <c r="O153" s="456"/>
      <c r="P153" s="456"/>
      <c r="Q153" s="456"/>
      <c r="R153" s="456"/>
      <c r="S153" s="456"/>
      <c r="T153" s="456"/>
    </row>
    <row r="154" spans="1:20" x14ac:dyDescent="0.2">
      <c r="B154" s="376" t="s">
        <v>481</v>
      </c>
      <c r="C154" s="376" t="s">
        <v>414</v>
      </c>
      <c r="D154" s="452" t="s">
        <v>250</v>
      </c>
      <c r="E154" s="452" t="s">
        <v>188</v>
      </c>
      <c r="F154" s="454"/>
      <c r="G154" s="454"/>
      <c r="H154" s="454"/>
      <c r="I154" s="454"/>
      <c r="J154" s="454"/>
      <c r="K154" s="454"/>
      <c r="L154" s="454"/>
      <c r="M154" s="454"/>
      <c r="N154" s="454"/>
      <c r="O154" s="454"/>
      <c r="P154" s="454"/>
      <c r="Q154" s="454"/>
      <c r="R154" s="454"/>
      <c r="S154" s="454"/>
      <c r="T154" s="454"/>
    </row>
    <row r="155" spans="1:20" x14ac:dyDescent="0.2">
      <c r="B155" s="376" t="s">
        <v>482</v>
      </c>
      <c r="C155" s="376" t="s">
        <v>416</v>
      </c>
      <c r="D155" s="452" t="s">
        <v>250</v>
      </c>
      <c r="E155" s="452" t="s">
        <v>188</v>
      </c>
      <c r="F155" s="454"/>
      <c r="G155" s="454"/>
      <c r="H155" s="454"/>
      <c r="I155" s="454"/>
      <c r="J155" s="454"/>
      <c r="K155" s="454"/>
      <c r="L155" s="454"/>
      <c r="M155" s="454"/>
      <c r="N155" s="454"/>
      <c r="O155" s="454"/>
      <c r="P155" s="454"/>
      <c r="Q155" s="454"/>
      <c r="R155" s="454"/>
      <c r="S155" s="454"/>
      <c r="T155" s="454"/>
    </row>
    <row r="156" spans="1:20" x14ac:dyDescent="0.2">
      <c r="B156" s="376" t="s">
        <v>483</v>
      </c>
      <c r="C156" s="376" t="s">
        <v>418</v>
      </c>
      <c r="D156" s="452" t="s">
        <v>250</v>
      </c>
      <c r="E156" s="452" t="s">
        <v>188</v>
      </c>
      <c r="F156" s="454"/>
      <c r="G156" s="454"/>
      <c r="H156" s="454"/>
      <c r="I156" s="454"/>
      <c r="J156" s="454"/>
      <c r="K156" s="454"/>
      <c r="L156" s="454"/>
      <c r="M156" s="454"/>
      <c r="N156" s="454"/>
      <c r="O156" s="454"/>
      <c r="P156" s="454"/>
      <c r="Q156" s="454"/>
      <c r="R156" s="454"/>
      <c r="S156" s="454"/>
      <c r="T156" s="454"/>
    </row>
    <row r="157" spans="1:20" x14ac:dyDescent="0.2">
      <c r="B157" s="376" t="s">
        <v>484</v>
      </c>
      <c r="C157" s="376" t="s">
        <v>420</v>
      </c>
      <c r="D157" s="452" t="s">
        <v>250</v>
      </c>
      <c r="E157" s="452" t="s">
        <v>188</v>
      </c>
      <c r="F157" s="454"/>
      <c r="G157" s="454"/>
      <c r="H157" s="454"/>
      <c r="I157" s="454"/>
      <c r="J157" s="454"/>
      <c r="K157" s="454"/>
      <c r="L157" s="454"/>
      <c r="M157" s="454"/>
      <c r="N157" s="454"/>
      <c r="O157" s="454"/>
      <c r="P157" s="454"/>
      <c r="Q157" s="454"/>
      <c r="R157" s="454"/>
      <c r="S157" s="454"/>
      <c r="T157" s="454"/>
    </row>
    <row r="158" spans="1:20" x14ac:dyDescent="0.2">
      <c r="B158" s="376" t="s">
        <v>485</v>
      </c>
      <c r="C158" s="376" t="s">
        <v>422</v>
      </c>
      <c r="D158" s="452" t="s">
        <v>250</v>
      </c>
      <c r="E158" s="452" t="s">
        <v>188</v>
      </c>
      <c r="F158" s="454"/>
      <c r="G158" s="454"/>
      <c r="H158" s="454"/>
      <c r="I158" s="454"/>
      <c r="J158" s="454"/>
      <c r="K158" s="454"/>
      <c r="L158" s="454"/>
      <c r="M158" s="454"/>
      <c r="N158" s="454"/>
      <c r="O158" s="454"/>
      <c r="P158" s="454"/>
      <c r="Q158" s="454"/>
      <c r="R158" s="454"/>
      <c r="S158" s="454"/>
      <c r="T158" s="454"/>
    </row>
    <row r="159" spans="1:20" x14ac:dyDescent="0.2">
      <c r="B159" s="376" t="s">
        <v>486</v>
      </c>
      <c r="C159" s="376" t="s">
        <v>424</v>
      </c>
      <c r="D159" s="452" t="s">
        <v>250</v>
      </c>
      <c r="E159" s="452" t="s">
        <v>188</v>
      </c>
      <c r="F159" s="454"/>
      <c r="G159" s="454"/>
      <c r="H159" s="454"/>
      <c r="I159" s="454"/>
      <c r="J159" s="454"/>
      <c r="K159" s="454"/>
      <c r="L159" s="454"/>
      <c r="M159" s="454"/>
      <c r="N159" s="454"/>
      <c r="O159" s="454"/>
      <c r="P159" s="454"/>
      <c r="Q159" s="454"/>
      <c r="R159" s="454"/>
      <c r="S159" s="454"/>
      <c r="T159" s="454"/>
    </row>
    <row r="160" spans="1:20" x14ac:dyDescent="0.2">
      <c r="B160" s="376" t="s">
        <v>487</v>
      </c>
      <c r="C160" s="376" t="s">
        <v>426</v>
      </c>
      <c r="D160" s="452" t="s">
        <v>250</v>
      </c>
      <c r="E160" s="452" t="s">
        <v>188</v>
      </c>
      <c r="F160" s="454"/>
      <c r="G160" s="454"/>
      <c r="H160" s="454"/>
      <c r="I160" s="454"/>
      <c r="J160" s="454"/>
      <c r="K160" s="454"/>
      <c r="L160" s="454"/>
      <c r="M160" s="454"/>
      <c r="N160" s="454"/>
      <c r="O160" s="454"/>
      <c r="P160" s="454"/>
      <c r="Q160" s="454"/>
      <c r="R160" s="454"/>
      <c r="S160" s="454"/>
      <c r="T160" s="454"/>
    </row>
    <row r="161" spans="1:20" s="453" customFormat="1" x14ac:dyDescent="0.2">
      <c r="A161" s="449"/>
      <c r="B161" s="449" t="s">
        <v>488</v>
      </c>
      <c r="C161" s="449" t="s">
        <v>428</v>
      </c>
      <c r="D161" s="449" t="s">
        <v>250</v>
      </c>
      <c r="E161" s="449" t="s">
        <v>188</v>
      </c>
      <c r="F161" s="456"/>
      <c r="G161" s="456"/>
      <c r="H161" s="456"/>
      <c r="I161" s="456"/>
      <c r="J161" s="456"/>
      <c r="K161" s="456"/>
      <c r="L161" s="456"/>
      <c r="M161" s="456"/>
      <c r="N161" s="456"/>
      <c r="O161" s="456"/>
      <c r="P161" s="456"/>
      <c r="Q161" s="456"/>
      <c r="R161" s="456"/>
      <c r="S161" s="456"/>
      <c r="T161" s="456"/>
    </row>
    <row r="162" spans="1:20" x14ac:dyDescent="0.2">
      <c r="B162" s="376" t="s">
        <v>489</v>
      </c>
      <c r="C162" s="376" t="s">
        <v>430</v>
      </c>
      <c r="D162" s="452" t="s">
        <v>250</v>
      </c>
      <c r="E162" s="452" t="s">
        <v>188</v>
      </c>
      <c r="F162" s="454"/>
      <c r="G162" s="454"/>
      <c r="H162" s="454"/>
      <c r="I162" s="454"/>
      <c r="J162" s="454"/>
      <c r="K162" s="454"/>
      <c r="L162" s="454"/>
      <c r="M162" s="454"/>
      <c r="N162" s="454"/>
      <c r="O162" s="454"/>
      <c r="P162" s="454"/>
      <c r="Q162" s="454"/>
      <c r="R162" s="454"/>
      <c r="S162" s="454"/>
      <c r="T162" s="454"/>
    </row>
    <row r="163" spans="1:20" x14ac:dyDescent="0.2">
      <c r="B163" s="376" t="s">
        <v>490</v>
      </c>
      <c r="C163" s="376" t="s">
        <v>432</v>
      </c>
      <c r="D163" s="452" t="s">
        <v>250</v>
      </c>
      <c r="E163" s="452" t="s">
        <v>188</v>
      </c>
      <c r="F163" s="454"/>
      <c r="G163" s="454"/>
      <c r="H163" s="454"/>
      <c r="I163" s="454"/>
      <c r="J163" s="454"/>
      <c r="K163" s="454"/>
      <c r="L163" s="454"/>
      <c r="M163" s="454"/>
      <c r="N163" s="454"/>
      <c r="O163" s="454"/>
      <c r="P163" s="454"/>
      <c r="Q163" s="454"/>
      <c r="R163" s="454"/>
      <c r="S163" s="454"/>
      <c r="T163" s="454"/>
    </row>
    <row r="164" spans="1:20" x14ac:dyDescent="0.2">
      <c r="B164" s="376" t="s">
        <v>491</v>
      </c>
      <c r="C164" s="376" t="s">
        <v>434</v>
      </c>
      <c r="D164" s="452" t="s">
        <v>250</v>
      </c>
      <c r="E164" s="452" t="s">
        <v>188</v>
      </c>
      <c r="F164" s="454"/>
      <c r="G164" s="454"/>
      <c r="H164" s="454"/>
      <c r="I164" s="454"/>
      <c r="J164" s="454"/>
      <c r="K164" s="454"/>
      <c r="L164" s="454"/>
      <c r="M164" s="454"/>
      <c r="N164" s="454"/>
      <c r="O164" s="454"/>
      <c r="P164" s="454"/>
      <c r="Q164" s="454"/>
      <c r="R164" s="454"/>
      <c r="S164" s="454"/>
      <c r="T164" s="454"/>
    </row>
    <row r="165" spans="1:20" x14ac:dyDescent="0.2">
      <c r="B165" s="376" t="s">
        <v>492</v>
      </c>
      <c r="C165" s="376" t="s">
        <v>436</v>
      </c>
      <c r="D165" s="452" t="s">
        <v>250</v>
      </c>
      <c r="E165" s="452" t="s">
        <v>188</v>
      </c>
      <c r="F165" s="454"/>
      <c r="G165" s="454"/>
      <c r="H165" s="454"/>
      <c r="I165" s="454"/>
      <c r="J165" s="454"/>
      <c r="K165" s="454"/>
      <c r="L165" s="454"/>
      <c r="M165" s="454"/>
      <c r="N165" s="454"/>
      <c r="O165" s="454"/>
      <c r="P165" s="454"/>
      <c r="Q165" s="454"/>
      <c r="R165" s="454"/>
      <c r="S165" s="454"/>
      <c r="T165" s="454"/>
    </row>
    <row r="166" spans="1:20" x14ac:dyDescent="0.2">
      <c r="B166" s="376" t="s">
        <v>493</v>
      </c>
      <c r="C166" s="376" t="s">
        <v>438</v>
      </c>
      <c r="D166" s="452" t="s">
        <v>250</v>
      </c>
      <c r="E166" s="452" t="s">
        <v>188</v>
      </c>
      <c r="F166" s="454"/>
      <c r="G166" s="454"/>
      <c r="H166" s="454"/>
      <c r="I166" s="454"/>
      <c r="J166" s="454"/>
      <c r="K166" s="454"/>
      <c r="L166" s="454"/>
      <c r="M166" s="454"/>
      <c r="N166" s="454"/>
      <c r="O166" s="454"/>
      <c r="P166" s="454"/>
      <c r="Q166" s="454"/>
      <c r="R166" s="454"/>
      <c r="S166" s="454"/>
      <c r="T166" s="454"/>
    </row>
    <row r="167" spans="1:20" x14ac:dyDescent="0.2">
      <c r="B167" s="376" t="s">
        <v>494</v>
      </c>
      <c r="C167" s="376" t="s">
        <v>440</v>
      </c>
      <c r="D167" s="452" t="s">
        <v>250</v>
      </c>
      <c r="E167" s="452" t="s">
        <v>188</v>
      </c>
      <c r="F167" s="454"/>
      <c r="G167" s="454"/>
      <c r="H167" s="454"/>
      <c r="I167" s="454"/>
      <c r="J167" s="454"/>
      <c r="K167" s="454"/>
      <c r="L167" s="454"/>
      <c r="M167" s="454"/>
      <c r="N167" s="454"/>
      <c r="O167" s="454"/>
      <c r="P167" s="454"/>
      <c r="Q167" s="454"/>
      <c r="R167" s="454"/>
      <c r="S167" s="454"/>
      <c r="T167" s="454"/>
    </row>
    <row r="168" spans="1:20" x14ac:dyDescent="0.2">
      <c r="B168" s="376" t="s">
        <v>495</v>
      </c>
      <c r="C168" s="376" t="s">
        <v>442</v>
      </c>
      <c r="D168" s="452" t="s">
        <v>250</v>
      </c>
      <c r="E168" s="452" t="s">
        <v>188</v>
      </c>
      <c r="F168" s="454"/>
      <c r="G168" s="454"/>
      <c r="H168" s="454"/>
      <c r="I168" s="454"/>
      <c r="J168" s="454"/>
      <c r="K168" s="454"/>
      <c r="L168" s="454"/>
      <c r="M168" s="454"/>
      <c r="N168" s="454"/>
      <c r="O168" s="454"/>
      <c r="P168" s="454"/>
      <c r="Q168" s="454"/>
      <c r="R168" s="454"/>
      <c r="S168" s="454"/>
      <c r="T168" s="454"/>
    </row>
    <row r="169" spans="1:20" s="453" customFormat="1" x14ac:dyDescent="0.2">
      <c r="A169" s="449"/>
      <c r="B169" s="449" t="s">
        <v>496</v>
      </c>
      <c r="C169" s="449" t="s">
        <v>444</v>
      </c>
      <c r="D169" s="449" t="s">
        <v>250</v>
      </c>
      <c r="E169" s="449" t="s">
        <v>188</v>
      </c>
      <c r="F169" s="456"/>
      <c r="G169" s="456"/>
      <c r="H169" s="456"/>
      <c r="I169" s="456"/>
      <c r="J169" s="456"/>
      <c r="K169" s="456"/>
      <c r="L169" s="456"/>
      <c r="M169" s="456"/>
      <c r="N169" s="456"/>
      <c r="O169" s="456"/>
      <c r="P169" s="456"/>
      <c r="Q169" s="456"/>
      <c r="R169" s="456"/>
      <c r="S169" s="456"/>
      <c r="T169" s="456"/>
    </row>
    <row r="170" spans="1:20" x14ac:dyDescent="0.2">
      <c r="B170" s="376" t="s">
        <v>497</v>
      </c>
      <c r="C170" s="376" t="s">
        <v>498</v>
      </c>
      <c r="D170" s="452" t="s">
        <v>233</v>
      </c>
      <c r="E170" s="452" t="s">
        <v>188</v>
      </c>
      <c r="F170" s="454" t="s">
        <v>189</v>
      </c>
      <c r="G170" s="454" t="s">
        <v>189</v>
      </c>
      <c r="H170" s="454" t="s">
        <v>189</v>
      </c>
      <c r="I170" s="454" t="s">
        <v>189</v>
      </c>
      <c r="J170" s="454">
        <v>0.19</v>
      </c>
      <c r="K170" s="454">
        <v>0.19</v>
      </c>
      <c r="L170" s="454">
        <v>0.25</v>
      </c>
      <c r="M170" s="454">
        <v>0.25</v>
      </c>
      <c r="N170" s="454">
        <v>0.25</v>
      </c>
      <c r="O170" s="454">
        <v>0.25</v>
      </c>
      <c r="P170" s="454">
        <v>0.25</v>
      </c>
      <c r="Q170" s="454">
        <v>0.25</v>
      </c>
      <c r="R170" s="454">
        <v>0.25</v>
      </c>
      <c r="S170" s="454" t="s">
        <v>189</v>
      </c>
      <c r="T170" s="454" t="s">
        <v>189</v>
      </c>
    </row>
    <row r="171" spans="1:20" x14ac:dyDescent="0.2">
      <c r="B171" s="376" t="s">
        <v>499</v>
      </c>
      <c r="C171" s="376" t="s">
        <v>500</v>
      </c>
      <c r="D171" s="452" t="s">
        <v>208</v>
      </c>
      <c r="E171" s="452" t="s">
        <v>188</v>
      </c>
      <c r="F171" s="454">
        <v>103.2</v>
      </c>
      <c r="G171" s="454">
        <v>105.5</v>
      </c>
      <c r="H171" s="454">
        <v>107.6</v>
      </c>
      <c r="I171" s="454">
        <v>108.6</v>
      </c>
      <c r="J171" s="454">
        <v>110.4</v>
      </c>
      <c r="K171" s="454">
        <v>119</v>
      </c>
      <c r="L171" s="454">
        <v>128.30000000000001</v>
      </c>
      <c r="M171" s="454">
        <v>132.19999999999999</v>
      </c>
      <c r="N171" s="454">
        <v>135.505</v>
      </c>
      <c r="O171" s="454">
        <v>138.21510000000001</v>
      </c>
      <c r="P171" s="454">
        <v>140.97940199999999</v>
      </c>
      <c r="Q171" s="454">
        <v>143.79899004000001</v>
      </c>
      <c r="R171" s="454">
        <v>146.6749698408</v>
      </c>
      <c r="S171" s="454" t="s">
        <v>189</v>
      </c>
      <c r="T171" s="454" t="s">
        <v>189</v>
      </c>
    </row>
    <row r="172" spans="1:20" x14ac:dyDescent="0.2">
      <c r="B172" s="376" t="s">
        <v>501</v>
      </c>
      <c r="C172" s="376" t="s">
        <v>502</v>
      </c>
      <c r="D172" s="452" t="s">
        <v>208</v>
      </c>
      <c r="E172" s="452" t="s">
        <v>188</v>
      </c>
      <c r="F172" s="454">
        <v>103.5</v>
      </c>
      <c r="G172" s="454">
        <v>105.9</v>
      </c>
      <c r="H172" s="454">
        <v>107.9</v>
      </c>
      <c r="I172" s="454">
        <v>108.6</v>
      </c>
      <c r="J172" s="454">
        <v>111</v>
      </c>
      <c r="K172" s="454">
        <v>119.7</v>
      </c>
      <c r="L172" s="454">
        <v>129.1</v>
      </c>
      <c r="M172" s="454">
        <v>132.32749999999999</v>
      </c>
      <c r="N172" s="454">
        <v>135.63568749999999</v>
      </c>
      <c r="O172" s="454">
        <v>138.34840124999999</v>
      </c>
      <c r="P172" s="454">
        <v>141.11536927500001</v>
      </c>
      <c r="Q172" s="454">
        <v>143.93767666049999</v>
      </c>
      <c r="R172" s="454">
        <v>146.81643019371</v>
      </c>
      <c r="S172" s="454" t="s">
        <v>189</v>
      </c>
      <c r="T172" s="454" t="s">
        <v>189</v>
      </c>
    </row>
    <row r="173" spans="1:20" x14ac:dyDescent="0.2">
      <c r="B173" s="376" t="s">
        <v>503</v>
      </c>
      <c r="C173" s="376" t="s">
        <v>504</v>
      </c>
      <c r="D173" s="452" t="s">
        <v>208</v>
      </c>
      <c r="E173" s="452" t="s">
        <v>188</v>
      </c>
      <c r="F173" s="454">
        <v>103.5</v>
      </c>
      <c r="G173" s="454">
        <v>105.9</v>
      </c>
      <c r="H173" s="454">
        <v>107.9</v>
      </c>
      <c r="I173" s="454">
        <v>108.8</v>
      </c>
      <c r="J173" s="454">
        <v>111.4</v>
      </c>
      <c r="K173" s="454">
        <v>120.5</v>
      </c>
      <c r="L173" s="454">
        <v>129.4</v>
      </c>
      <c r="M173" s="454">
        <v>132.63499999999999</v>
      </c>
      <c r="N173" s="454">
        <v>135.61928750000001</v>
      </c>
      <c r="O173" s="454">
        <v>138.33167324999999</v>
      </c>
      <c r="P173" s="454">
        <v>141.09830671500001</v>
      </c>
      <c r="Q173" s="454">
        <v>143.92027284930001</v>
      </c>
      <c r="R173" s="454">
        <v>146.79867830628601</v>
      </c>
      <c r="S173" s="454" t="s">
        <v>189</v>
      </c>
      <c r="T173" s="454" t="s">
        <v>189</v>
      </c>
    </row>
    <row r="174" spans="1:20" x14ac:dyDescent="0.2">
      <c r="B174" s="376" t="s">
        <v>505</v>
      </c>
      <c r="C174" s="376" t="s">
        <v>506</v>
      </c>
      <c r="D174" s="452" t="s">
        <v>208</v>
      </c>
      <c r="E174" s="452" t="s">
        <v>188</v>
      </c>
      <c r="F174" s="454">
        <v>103.5</v>
      </c>
      <c r="G174" s="454">
        <v>105.9</v>
      </c>
      <c r="H174" s="454">
        <v>108</v>
      </c>
      <c r="I174" s="454">
        <v>109.2</v>
      </c>
      <c r="J174" s="454">
        <v>111.4</v>
      </c>
      <c r="K174" s="454">
        <v>121.2</v>
      </c>
      <c r="L174" s="454">
        <v>129</v>
      </c>
      <c r="M174" s="454">
        <v>132.22499999999999</v>
      </c>
      <c r="N174" s="454">
        <v>135.2000625</v>
      </c>
      <c r="O174" s="454">
        <v>137.90406375000001</v>
      </c>
      <c r="P174" s="454">
        <v>140.662145025</v>
      </c>
      <c r="Q174" s="454">
        <v>143.4753879255</v>
      </c>
      <c r="R174" s="454">
        <v>146.34489568401</v>
      </c>
      <c r="S174" s="454" t="s">
        <v>189</v>
      </c>
      <c r="T174" s="454" t="s">
        <v>189</v>
      </c>
    </row>
    <row r="175" spans="1:20" x14ac:dyDescent="0.2">
      <c r="B175" s="376" t="s">
        <v>507</v>
      </c>
      <c r="C175" s="376" t="s">
        <v>508</v>
      </c>
      <c r="D175" s="452" t="s">
        <v>208</v>
      </c>
      <c r="E175" s="452" t="s">
        <v>188</v>
      </c>
      <c r="F175" s="454">
        <v>104</v>
      </c>
      <c r="G175" s="454">
        <v>106.5</v>
      </c>
      <c r="H175" s="454">
        <v>108.3</v>
      </c>
      <c r="I175" s="454">
        <v>108.8</v>
      </c>
      <c r="J175" s="454">
        <v>112.1</v>
      </c>
      <c r="K175" s="454">
        <v>121.8</v>
      </c>
      <c r="L175" s="454">
        <v>129.4</v>
      </c>
      <c r="M175" s="454">
        <v>132.63499999999999</v>
      </c>
      <c r="N175" s="454">
        <v>135.61928750000001</v>
      </c>
      <c r="O175" s="454">
        <v>138.33167324999999</v>
      </c>
      <c r="P175" s="454">
        <v>141.09830671500001</v>
      </c>
      <c r="Q175" s="454">
        <v>143.92027284930001</v>
      </c>
      <c r="R175" s="454">
        <v>146.79867830628601</v>
      </c>
      <c r="S175" s="454" t="s">
        <v>189</v>
      </c>
      <c r="T175" s="454" t="s">
        <v>189</v>
      </c>
    </row>
    <row r="176" spans="1:20" x14ac:dyDescent="0.2">
      <c r="B176" s="376" t="s">
        <v>509</v>
      </c>
      <c r="C176" s="376" t="s">
        <v>510</v>
      </c>
      <c r="D176" s="452" t="s">
        <v>208</v>
      </c>
      <c r="E176" s="452" t="s">
        <v>188</v>
      </c>
      <c r="F176" s="454">
        <v>104.3</v>
      </c>
      <c r="G176" s="454">
        <v>106.6</v>
      </c>
      <c r="H176" s="454">
        <v>108.4</v>
      </c>
      <c r="I176" s="454">
        <v>109.2</v>
      </c>
      <c r="J176" s="454">
        <v>112.4</v>
      </c>
      <c r="K176" s="454">
        <v>122.3</v>
      </c>
      <c r="L176" s="454">
        <v>130.1</v>
      </c>
      <c r="M176" s="454">
        <v>133.35249999999999</v>
      </c>
      <c r="N176" s="454">
        <v>136.35293125000001</v>
      </c>
      <c r="O176" s="454">
        <v>139.079989875</v>
      </c>
      <c r="P176" s="454">
        <v>141.8615896725</v>
      </c>
      <c r="Q176" s="454">
        <v>144.69882146595</v>
      </c>
      <c r="R176" s="454">
        <v>147.592797895269</v>
      </c>
      <c r="S176" s="454" t="s">
        <v>189</v>
      </c>
      <c r="T176" s="454" t="s">
        <v>189</v>
      </c>
    </row>
    <row r="177" spans="1:20" x14ac:dyDescent="0.2">
      <c r="B177" s="376" t="s">
        <v>511</v>
      </c>
      <c r="C177" s="376" t="s">
        <v>512</v>
      </c>
      <c r="D177" s="452" t="s">
        <v>208</v>
      </c>
      <c r="E177" s="452" t="s">
        <v>188</v>
      </c>
      <c r="F177" s="454">
        <v>104.4</v>
      </c>
      <c r="G177" s="454">
        <v>106.7</v>
      </c>
      <c r="H177" s="454">
        <v>108.3</v>
      </c>
      <c r="I177" s="454">
        <v>109.2</v>
      </c>
      <c r="J177" s="454">
        <v>113.4</v>
      </c>
      <c r="K177" s="454">
        <v>124.3</v>
      </c>
      <c r="L177" s="454">
        <v>130.19999999999999</v>
      </c>
      <c r="M177" s="454">
        <v>133.45500000000001</v>
      </c>
      <c r="N177" s="454">
        <v>136.1241</v>
      </c>
      <c r="O177" s="454">
        <v>138.84658200000001</v>
      </c>
      <c r="P177" s="454">
        <v>141.62351364</v>
      </c>
      <c r="Q177" s="454">
        <v>144.45598391280001</v>
      </c>
      <c r="R177" s="454">
        <v>147.34510359105599</v>
      </c>
      <c r="S177" s="454" t="s">
        <v>189</v>
      </c>
      <c r="T177" s="454" t="s">
        <v>189</v>
      </c>
    </row>
    <row r="178" spans="1:20" x14ac:dyDescent="0.2">
      <c r="B178" s="376" t="s">
        <v>513</v>
      </c>
      <c r="C178" s="376" t="s">
        <v>514</v>
      </c>
      <c r="D178" s="452" t="s">
        <v>208</v>
      </c>
      <c r="E178" s="452" t="s">
        <v>188</v>
      </c>
      <c r="F178" s="454">
        <v>104.7</v>
      </c>
      <c r="G178" s="454">
        <v>106.9</v>
      </c>
      <c r="H178" s="454">
        <v>108.5</v>
      </c>
      <c r="I178" s="454">
        <v>109.1</v>
      </c>
      <c r="J178" s="454">
        <v>114.1</v>
      </c>
      <c r="K178" s="454">
        <v>124.8</v>
      </c>
      <c r="L178" s="454">
        <v>130</v>
      </c>
      <c r="M178" s="454">
        <v>133.25</v>
      </c>
      <c r="N178" s="454">
        <v>135.91499999999999</v>
      </c>
      <c r="O178" s="454">
        <v>138.63329999999999</v>
      </c>
      <c r="P178" s="454">
        <v>141.40596600000001</v>
      </c>
      <c r="Q178" s="454">
        <v>144.23408531999999</v>
      </c>
      <c r="R178" s="454">
        <v>147.11876702640001</v>
      </c>
      <c r="S178" s="454" t="s">
        <v>189</v>
      </c>
      <c r="T178" s="454" t="s">
        <v>189</v>
      </c>
    </row>
    <row r="179" spans="1:20" x14ac:dyDescent="0.2">
      <c r="B179" s="376" t="s">
        <v>515</v>
      </c>
      <c r="C179" s="376" t="s">
        <v>516</v>
      </c>
      <c r="D179" s="452" t="s">
        <v>208</v>
      </c>
      <c r="E179" s="452" t="s">
        <v>188</v>
      </c>
      <c r="F179" s="454">
        <v>105</v>
      </c>
      <c r="G179" s="454">
        <v>107.1</v>
      </c>
      <c r="H179" s="454">
        <v>108.5</v>
      </c>
      <c r="I179" s="454">
        <v>109.4</v>
      </c>
      <c r="J179" s="454">
        <v>114.7</v>
      </c>
      <c r="K179" s="454">
        <v>125.3</v>
      </c>
      <c r="L179" s="454">
        <v>130.5</v>
      </c>
      <c r="M179" s="454">
        <v>133.76249999999999</v>
      </c>
      <c r="N179" s="454">
        <v>136.43774999999999</v>
      </c>
      <c r="O179" s="454">
        <v>139.166505</v>
      </c>
      <c r="P179" s="454">
        <v>141.9498351</v>
      </c>
      <c r="Q179" s="454">
        <v>144.788831802</v>
      </c>
      <c r="R179" s="454">
        <v>147.68460843803999</v>
      </c>
      <c r="S179" s="454" t="s">
        <v>189</v>
      </c>
      <c r="T179" s="454" t="s">
        <v>189</v>
      </c>
    </row>
    <row r="180" spans="1:20" x14ac:dyDescent="0.2">
      <c r="B180" s="376" t="s">
        <v>517</v>
      </c>
      <c r="C180" s="376" t="s">
        <v>518</v>
      </c>
      <c r="D180" s="452" t="s">
        <v>208</v>
      </c>
      <c r="E180" s="452" t="s">
        <v>188</v>
      </c>
      <c r="F180" s="454">
        <v>104.5</v>
      </c>
      <c r="G180" s="454">
        <v>106.4</v>
      </c>
      <c r="H180" s="454">
        <v>108.3</v>
      </c>
      <c r="I180" s="454">
        <v>109.3</v>
      </c>
      <c r="J180" s="454">
        <v>114.6</v>
      </c>
      <c r="K180" s="454">
        <v>124.8</v>
      </c>
      <c r="L180" s="454">
        <v>130</v>
      </c>
      <c r="M180" s="454">
        <v>133.25</v>
      </c>
      <c r="N180" s="454">
        <v>135.91499999999999</v>
      </c>
      <c r="O180" s="454">
        <v>138.63329999999999</v>
      </c>
      <c r="P180" s="454">
        <v>141.40596600000001</v>
      </c>
      <c r="Q180" s="454">
        <v>144.23408531999999</v>
      </c>
      <c r="R180" s="454">
        <v>147.11876702640001</v>
      </c>
      <c r="S180" s="454" t="s">
        <v>189</v>
      </c>
      <c r="T180" s="454" t="s">
        <v>189</v>
      </c>
    </row>
    <row r="181" spans="1:20" x14ac:dyDescent="0.2">
      <c r="B181" s="376" t="s">
        <v>519</v>
      </c>
      <c r="C181" s="376" t="s">
        <v>520</v>
      </c>
      <c r="D181" s="452" t="s">
        <v>208</v>
      </c>
      <c r="E181" s="452" t="s">
        <v>188</v>
      </c>
      <c r="F181" s="454">
        <v>104.9</v>
      </c>
      <c r="G181" s="454">
        <v>106.8</v>
      </c>
      <c r="H181" s="454">
        <v>108.6</v>
      </c>
      <c r="I181" s="454">
        <v>109.4</v>
      </c>
      <c r="J181" s="454">
        <v>115.4</v>
      </c>
      <c r="K181" s="454">
        <v>126</v>
      </c>
      <c r="L181" s="454">
        <v>130.80000000000001</v>
      </c>
      <c r="M181" s="454">
        <v>134.07</v>
      </c>
      <c r="N181" s="454">
        <v>136.75139999999999</v>
      </c>
      <c r="O181" s="454">
        <v>139.48642799999999</v>
      </c>
      <c r="P181" s="454">
        <v>142.27615656</v>
      </c>
      <c r="Q181" s="454">
        <v>145.1216796912</v>
      </c>
      <c r="R181" s="454">
        <v>148.02411328502399</v>
      </c>
      <c r="S181" s="454" t="s">
        <v>189</v>
      </c>
      <c r="T181" s="454" t="s">
        <v>189</v>
      </c>
    </row>
    <row r="182" spans="1:20" x14ac:dyDescent="0.2">
      <c r="B182" s="376" t="s">
        <v>521</v>
      </c>
      <c r="C182" s="376" t="s">
        <v>522</v>
      </c>
      <c r="D182" s="452" t="s">
        <v>208</v>
      </c>
      <c r="E182" s="452" t="s">
        <v>188</v>
      </c>
      <c r="F182" s="454">
        <v>105.1</v>
      </c>
      <c r="G182" s="454">
        <v>107</v>
      </c>
      <c r="H182" s="454">
        <v>108.6</v>
      </c>
      <c r="I182" s="454">
        <v>109.7</v>
      </c>
      <c r="J182" s="454">
        <v>116.5</v>
      </c>
      <c r="K182" s="454">
        <v>126.8</v>
      </c>
      <c r="L182" s="454">
        <v>131.6</v>
      </c>
      <c r="M182" s="454">
        <v>134.88999999999999</v>
      </c>
      <c r="N182" s="454">
        <v>137.58779999999999</v>
      </c>
      <c r="O182" s="454">
        <v>140.33955599999999</v>
      </c>
      <c r="P182" s="454">
        <v>143.14634712</v>
      </c>
      <c r="Q182" s="454">
        <v>146.00927406240001</v>
      </c>
      <c r="R182" s="454">
        <v>148.92945954364799</v>
      </c>
      <c r="S182" s="454" t="s">
        <v>189</v>
      </c>
      <c r="T182" s="454" t="s">
        <v>189</v>
      </c>
    </row>
    <row r="183" spans="1:20" s="453" customFormat="1" x14ac:dyDescent="0.2">
      <c r="A183" s="449"/>
      <c r="B183" s="449" t="s">
        <v>523</v>
      </c>
      <c r="C183" s="449" t="s">
        <v>364</v>
      </c>
      <c r="D183" s="449" t="s">
        <v>250</v>
      </c>
      <c r="E183" s="449" t="s">
        <v>188</v>
      </c>
      <c r="F183" s="456"/>
      <c r="G183" s="456"/>
      <c r="H183" s="456"/>
      <c r="I183" s="456"/>
      <c r="J183" s="456"/>
      <c r="K183" s="456"/>
      <c r="L183" s="456"/>
      <c r="M183" s="458"/>
      <c r="N183" s="456"/>
      <c r="O183" s="456"/>
      <c r="P183" s="456"/>
      <c r="Q183" s="456"/>
      <c r="R183" s="456"/>
      <c r="S183" s="456"/>
      <c r="T183" s="456"/>
    </row>
    <row r="184" spans="1:20" s="453" customFormat="1" x14ac:dyDescent="0.2">
      <c r="A184" s="449"/>
      <c r="B184" s="449" t="s">
        <v>524</v>
      </c>
      <c r="C184" s="449" t="s">
        <v>366</v>
      </c>
      <c r="D184" s="449" t="s">
        <v>250</v>
      </c>
      <c r="E184" s="449" t="s">
        <v>188</v>
      </c>
      <c r="F184" s="456"/>
      <c r="G184" s="456"/>
      <c r="H184" s="456"/>
      <c r="I184" s="456"/>
      <c r="J184" s="456"/>
      <c r="K184" s="456"/>
      <c r="L184" s="456"/>
      <c r="M184" s="458"/>
      <c r="N184" s="456"/>
      <c r="O184" s="456"/>
      <c r="P184" s="456"/>
      <c r="Q184" s="456"/>
      <c r="R184" s="456"/>
      <c r="S184" s="456"/>
      <c r="T184" s="456"/>
    </row>
    <row r="185" spans="1:20" s="453" customFormat="1" x14ac:dyDescent="0.2">
      <c r="A185" s="449"/>
      <c r="B185" s="449" t="s">
        <v>525</v>
      </c>
      <c r="C185" s="449" t="s">
        <v>368</v>
      </c>
      <c r="D185" s="449" t="s">
        <v>250</v>
      </c>
      <c r="E185" s="449" t="s">
        <v>188</v>
      </c>
      <c r="F185" s="456"/>
      <c r="G185" s="456"/>
      <c r="H185" s="456"/>
      <c r="I185" s="456"/>
      <c r="J185" s="456"/>
      <c r="K185" s="456"/>
      <c r="L185" s="456"/>
      <c r="M185" s="458"/>
      <c r="N185" s="456"/>
      <c r="O185" s="456"/>
      <c r="P185" s="456"/>
      <c r="Q185" s="456"/>
      <c r="R185" s="456"/>
      <c r="S185" s="456"/>
      <c r="T185" s="456"/>
    </row>
    <row r="186" spans="1:20" s="453" customFormat="1" x14ac:dyDescent="0.2">
      <c r="A186" s="449"/>
      <c r="B186" s="449" t="s">
        <v>526</v>
      </c>
      <c r="C186" s="449" t="s">
        <v>370</v>
      </c>
      <c r="D186" s="449" t="s">
        <v>250</v>
      </c>
      <c r="E186" s="449" t="s">
        <v>188</v>
      </c>
      <c r="F186" s="456"/>
      <c r="G186" s="456"/>
      <c r="H186" s="456"/>
      <c r="I186" s="456"/>
      <c r="J186" s="456"/>
      <c r="K186" s="456"/>
      <c r="L186" s="456"/>
      <c r="M186" s="458"/>
      <c r="N186" s="456"/>
      <c r="O186" s="456"/>
      <c r="P186" s="456"/>
      <c r="Q186" s="456"/>
      <c r="R186" s="456"/>
      <c r="S186" s="456"/>
      <c r="T186" s="456"/>
    </row>
    <row r="187" spans="1:20" s="453" customFormat="1" x14ac:dyDescent="0.2">
      <c r="A187" s="449"/>
      <c r="B187" s="449" t="s">
        <v>527</v>
      </c>
      <c r="C187" s="449" t="s">
        <v>372</v>
      </c>
      <c r="D187" s="449" t="s">
        <v>250</v>
      </c>
      <c r="E187" s="449" t="s">
        <v>188</v>
      </c>
      <c r="F187" s="456"/>
      <c r="G187" s="456"/>
      <c r="H187" s="456"/>
      <c r="I187" s="456"/>
      <c r="J187" s="456"/>
      <c r="K187" s="456"/>
      <c r="L187" s="456"/>
      <c r="M187" s="458"/>
      <c r="N187" s="456"/>
      <c r="O187" s="456"/>
      <c r="P187" s="456"/>
      <c r="Q187" s="456"/>
      <c r="R187" s="456"/>
      <c r="S187" s="456"/>
      <c r="T187" s="456"/>
    </row>
    <row r="188" spans="1:20" s="453" customFormat="1" x14ac:dyDescent="0.2">
      <c r="A188" s="449"/>
      <c r="B188" s="449" t="s">
        <v>528</v>
      </c>
      <c r="C188" s="449" t="s">
        <v>374</v>
      </c>
      <c r="D188" s="449" t="s">
        <v>250</v>
      </c>
      <c r="E188" s="449" t="s">
        <v>188</v>
      </c>
      <c r="F188" s="456"/>
      <c r="G188" s="456"/>
      <c r="H188" s="456"/>
      <c r="I188" s="456"/>
      <c r="J188" s="456"/>
      <c r="K188" s="456"/>
      <c r="L188" s="456"/>
      <c r="M188" s="458"/>
      <c r="N188" s="456"/>
      <c r="O188" s="456"/>
      <c r="P188" s="456"/>
      <c r="Q188" s="456"/>
      <c r="R188" s="456"/>
      <c r="S188" s="456"/>
      <c r="T188" s="456"/>
    </row>
    <row r="189" spans="1:20" s="453" customFormat="1" x14ac:dyDescent="0.2">
      <c r="A189" s="449"/>
      <c r="B189" s="449" t="s">
        <v>529</v>
      </c>
      <c r="C189" s="449" t="s">
        <v>376</v>
      </c>
      <c r="D189" s="449" t="s">
        <v>250</v>
      </c>
      <c r="E189" s="449" t="s">
        <v>188</v>
      </c>
      <c r="F189" s="456"/>
      <c r="G189" s="456"/>
      <c r="H189" s="456"/>
      <c r="I189" s="456"/>
      <c r="J189" s="456"/>
      <c r="K189" s="456"/>
      <c r="L189" s="456"/>
      <c r="M189" s="458"/>
      <c r="N189" s="456"/>
      <c r="O189" s="456"/>
      <c r="P189" s="456"/>
      <c r="Q189" s="456"/>
      <c r="R189" s="456"/>
      <c r="S189" s="456"/>
      <c r="T189" s="456"/>
    </row>
    <row r="190" spans="1:20" s="453" customFormat="1" x14ac:dyDescent="0.2">
      <c r="A190" s="449"/>
      <c r="B190" s="449" t="s">
        <v>530</v>
      </c>
      <c r="C190" s="449" t="s">
        <v>378</v>
      </c>
      <c r="D190" s="449" t="s">
        <v>250</v>
      </c>
      <c r="E190" s="449" t="s">
        <v>188</v>
      </c>
      <c r="F190" s="456"/>
      <c r="G190" s="456"/>
      <c r="H190" s="456"/>
      <c r="I190" s="456"/>
      <c r="J190" s="456"/>
      <c r="K190" s="456"/>
      <c r="L190" s="456"/>
      <c r="M190" s="458"/>
      <c r="N190" s="456"/>
      <c r="O190" s="456"/>
      <c r="P190" s="456"/>
      <c r="Q190" s="456"/>
      <c r="R190" s="456"/>
      <c r="S190" s="456"/>
      <c r="T190" s="456"/>
    </row>
    <row r="191" spans="1:20" s="453" customFormat="1" x14ac:dyDescent="0.2">
      <c r="A191" s="449"/>
      <c r="B191" s="449" t="s">
        <v>531</v>
      </c>
      <c r="C191" s="449" t="s">
        <v>380</v>
      </c>
      <c r="D191" s="449" t="s">
        <v>250</v>
      </c>
      <c r="E191" s="449" t="s">
        <v>188</v>
      </c>
      <c r="F191" s="456"/>
      <c r="G191" s="456"/>
      <c r="H191" s="456"/>
      <c r="I191" s="456"/>
      <c r="J191" s="456"/>
      <c r="K191" s="456"/>
      <c r="L191" s="456"/>
      <c r="M191" s="458"/>
      <c r="N191" s="456"/>
      <c r="O191" s="456"/>
      <c r="P191" s="456"/>
      <c r="Q191" s="456"/>
      <c r="R191" s="456"/>
      <c r="S191" s="456"/>
      <c r="T191" s="456"/>
    </row>
  </sheetData>
  <phoneticPr fontId="74" type="noConversion"/>
  <pageMargins left="0.7" right="0.7" top="0.75" bottom="0.75" header="0.3" footer="0.3"/>
  <pageSetup paperSize="8" scale="48" fitToHeight="0" orientation="landscape" r:id="rId1"/>
  <rowBreaks count="1" manualBreakCount="1">
    <brk id="10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AA7F-6516-4011-875E-6D8D87A62802}">
  <sheetPr>
    <tabColor rgb="FFD740A2"/>
    <pageSetUpPr fitToPage="1"/>
  </sheetPr>
  <dimension ref="A1:Y193"/>
  <sheetViews>
    <sheetView showGridLines="0" zoomScale="80" zoomScaleNormal="80" workbookViewId="0">
      <pane xSplit="9" ySplit="5" topLeftCell="J6" activePane="bottomRight" state="frozen"/>
      <selection pane="topRight" activeCell="B4" sqref="B4"/>
      <selection pane="bottomLeft" activeCell="B4" sqref="B4"/>
      <selection pane="bottomRight" activeCell="F9" sqref="F9"/>
    </sheetView>
  </sheetViews>
  <sheetFormatPr defaultColWidth="9.625" defaultRowHeight="12.75" zeroHeight="1" x14ac:dyDescent="0.2"/>
  <cols>
    <col min="1" max="1" width="36.625" style="109" customWidth="1"/>
    <col min="2" max="4" width="1.625" style="109" customWidth="1"/>
    <col min="5" max="5" width="101.125" style="109" bestFit="1" customWidth="1"/>
    <col min="6" max="6" width="25.625" style="3" customWidth="1"/>
    <col min="7" max="7" width="15.625" style="109" customWidth="1"/>
    <col min="8" max="8" width="15.625" style="3" customWidth="1"/>
    <col min="9" max="9" width="2.625" style="3" customWidth="1"/>
    <col min="10" max="22" width="9.625" style="3" customWidth="1"/>
    <col min="23" max="16384" width="9.625" style="3"/>
  </cols>
  <sheetData>
    <row r="1" spans="1:24" s="84" customFormat="1" ht="29.25" x14ac:dyDescent="0.2">
      <c r="A1" s="111" t="str">
        <f ca="1" xml:space="preserve"> RIGHT(CELL("filename", $A$1), LEN(CELL("filename", $A$1)) - SEARCH("]", CELL("filename", $A$1)))</f>
        <v>InpExpected</v>
      </c>
      <c r="B1" s="111"/>
      <c r="C1" s="111"/>
      <c r="D1" s="111"/>
      <c r="E1" s="111"/>
      <c r="F1" s="111"/>
      <c r="G1" s="111"/>
      <c r="H1" s="392" t="e">
        <f>InpExpected!F9</f>
        <v>#N/A</v>
      </c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1:24" s="1" customFormat="1" x14ac:dyDescent="0.2">
      <c r="A2" s="119"/>
      <c r="B2" s="119"/>
      <c r="C2" s="119"/>
      <c r="D2" s="119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6" customFormat="1" x14ac:dyDescent="0.2">
      <c r="A3" s="119"/>
      <c r="B3" s="119"/>
      <c r="C3" s="119"/>
      <c r="D3" s="119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7" customFormat="1" x14ac:dyDescent="0.2">
      <c r="A4" s="20"/>
      <c r="B4" s="96"/>
      <c r="C4" s="139"/>
      <c r="D4" s="98"/>
      <c r="E4" s="150" t="str">
        <f>Time!E$106</f>
        <v>Financial Year Ending</v>
      </c>
      <c r="F4" s="120"/>
      <c r="G4" s="120"/>
      <c r="H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1" customFormat="1" x14ac:dyDescent="0.2">
      <c r="A5" s="109"/>
      <c r="B5" s="109"/>
      <c r="C5" s="109"/>
      <c r="D5" s="109"/>
      <c r="E5" s="120" t="str">
        <f>Time!E$10</f>
        <v>Model column counter</v>
      </c>
      <c r="F5" s="149" t="s">
        <v>532</v>
      </c>
      <c r="G5" s="149" t="s">
        <v>186</v>
      </c>
      <c r="H5" s="2" t="s">
        <v>533</v>
      </c>
      <c r="I5" s="3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1" customFormat="1" x14ac:dyDescent="0.2">
      <c r="A6" s="109"/>
      <c r="B6" s="109"/>
      <c r="C6" s="109"/>
      <c r="D6" s="109"/>
      <c r="E6" s="120"/>
      <c r="F6" s="149"/>
      <c r="G6" s="149"/>
      <c r="H6" s="2"/>
      <c r="I6" s="3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209" customFormat="1" ht="13.5" x14ac:dyDescent="0.25">
      <c r="A7" s="209" t="s">
        <v>74</v>
      </c>
    </row>
    <row r="8" spans="1:24" s="180" customFormat="1" x14ac:dyDescent="0.2">
      <c r="A8" s="181"/>
      <c r="B8" s="181"/>
      <c r="C8" s="181"/>
      <c r="D8" s="181"/>
      <c r="E8" s="181"/>
      <c r="F8" s="181"/>
      <c r="G8" s="181"/>
      <c r="H8" s="181"/>
      <c r="I8" s="182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81"/>
      <c r="U8" s="181"/>
      <c r="V8" s="181"/>
      <c r="W8" s="181"/>
      <c r="X8" s="181"/>
    </row>
    <row r="9" spans="1:24" s="180" customFormat="1" x14ac:dyDescent="0.2">
      <c r="A9" s="181"/>
      <c r="B9" s="181"/>
      <c r="C9" s="181"/>
      <c r="D9" s="181"/>
      <c r="E9" s="181" t="s">
        <v>88</v>
      </c>
      <c r="F9" s="257" t="e">
        <f>INDEX(Validation!B4:B23, MATCH(F10, Validation!C4:C23, 0))</f>
        <v>#N/A</v>
      </c>
      <c r="G9" s="181" t="s">
        <v>534</v>
      </c>
      <c r="H9" s="181"/>
      <c r="I9" s="183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</row>
    <row r="10" spans="1:24" s="180" customFormat="1" x14ac:dyDescent="0.2">
      <c r="A10" s="181"/>
      <c r="B10" s="181"/>
      <c r="C10" s="181"/>
      <c r="D10" s="181"/>
      <c r="E10" s="181" t="s">
        <v>535</v>
      </c>
      <c r="F10" s="389">
        <f>F_Inputs!A7</f>
        <v>0</v>
      </c>
      <c r="G10" s="181"/>
      <c r="H10" s="181"/>
      <c r="I10" s="183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</row>
    <row r="11" spans="1:24" s="180" customFormat="1" x14ac:dyDescent="0.2">
      <c r="A11" s="181"/>
      <c r="B11" s="181"/>
      <c r="C11" s="181"/>
      <c r="D11" s="181"/>
      <c r="E11" s="181"/>
      <c r="F11" s="181"/>
      <c r="G11" s="181"/>
      <c r="H11" s="181"/>
      <c r="I11" s="183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</row>
    <row r="12" spans="1:24" s="180" customFormat="1" x14ac:dyDescent="0.2">
      <c r="A12" s="181"/>
      <c r="B12" s="181"/>
      <c r="C12" s="181"/>
      <c r="D12" s="181"/>
      <c r="E12" s="181" t="s">
        <v>87</v>
      </c>
      <c r="F12" s="161" t="s">
        <v>94</v>
      </c>
      <c r="G12" s="181" t="s">
        <v>536</v>
      </c>
      <c r="H12" s="184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</row>
    <row r="13" spans="1:24" s="180" customFormat="1" x14ac:dyDescent="0.2">
      <c r="A13" s="181"/>
      <c r="B13" s="181"/>
      <c r="C13" s="181"/>
      <c r="D13" s="181"/>
      <c r="E13" s="181"/>
      <c r="F13" s="181"/>
      <c r="G13" s="183"/>
      <c r="H13" s="183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</row>
    <row r="14" spans="1:24" s="180" customFormat="1" x14ac:dyDescent="0.2">
      <c r="A14" s="181"/>
      <c r="B14" s="181"/>
      <c r="C14" s="181"/>
      <c r="D14" s="181"/>
      <c r="E14" s="181" t="s">
        <v>537</v>
      </c>
      <c r="F14" s="281" t="s">
        <v>192</v>
      </c>
      <c r="G14" s="181" t="s">
        <v>536</v>
      </c>
      <c r="H14" s="183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</row>
    <row r="15" spans="1:24" s="180" customFormat="1" x14ac:dyDescent="0.2">
      <c r="A15" s="181"/>
      <c r="B15" s="181"/>
      <c r="C15" s="181"/>
      <c r="D15" s="181"/>
      <c r="E15" s="181" t="s">
        <v>538</v>
      </c>
      <c r="F15" s="181" t="str">
        <f>"£m ("&amp;F14&amp;" FYA CPIH prices)"</f>
        <v>£m (2017-18 FYA CPIH prices)</v>
      </c>
      <c r="G15" s="181" t="s">
        <v>534</v>
      </c>
      <c r="H15" s="183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</row>
    <row r="16" spans="1:24" s="180" customFormat="1" x14ac:dyDescent="0.2">
      <c r="A16" s="181"/>
      <c r="B16" s="181"/>
      <c r="C16" s="181"/>
      <c r="D16" s="181"/>
      <c r="E16" s="181"/>
      <c r="F16" s="181"/>
      <c r="G16" s="181"/>
      <c r="H16" s="183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</row>
    <row r="17" spans="1:24" s="340" customFormat="1" x14ac:dyDescent="0.2">
      <c r="A17" s="257"/>
      <c r="B17" s="257"/>
      <c r="C17" s="257"/>
      <c r="D17" s="257"/>
      <c r="E17" s="257"/>
      <c r="F17" s="257"/>
      <c r="G17" s="257"/>
      <c r="H17" s="339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</row>
    <row r="18" spans="1:24" s="180" customFormat="1" x14ac:dyDescent="0.2">
      <c r="A18" s="181"/>
      <c r="B18" s="181"/>
      <c r="C18" s="181"/>
      <c r="D18" s="181"/>
      <c r="E18" s="181"/>
      <c r="F18" s="257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</row>
    <row r="19" spans="1:24" s="180" customFormat="1" x14ac:dyDescent="0.2">
      <c r="A19" s="181"/>
      <c r="B19" s="181"/>
      <c r="C19" s="185" t="s">
        <v>539</v>
      </c>
      <c r="D19" s="181"/>
      <c r="E19" s="181"/>
      <c r="F19" s="181"/>
      <c r="G19" s="181"/>
      <c r="H19" s="181"/>
      <c r="I19" s="181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81"/>
      <c r="U19" s="181"/>
      <c r="V19" s="181"/>
      <c r="W19" s="181"/>
      <c r="X19" s="181"/>
    </row>
    <row r="20" spans="1:24" s="180" customFormat="1" x14ac:dyDescent="0.2">
      <c r="A20" s="181"/>
      <c r="B20" s="181"/>
      <c r="C20" s="181"/>
      <c r="D20" s="181"/>
      <c r="E20" s="181"/>
      <c r="F20" s="181"/>
      <c r="G20" s="181"/>
      <c r="H20" s="181"/>
      <c r="I20" s="181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81"/>
      <c r="U20" s="181"/>
      <c r="V20" s="181"/>
      <c r="W20" s="181"/>
      <c r="X20" s="181"/>
    </row>
    <row r="21" spans="1:24" s="180" customFormat="1" x14ac:dyDescent="0.2">
      <c r="A21" s="181"/>
      <c r="B21" s="181"/>
      <c r="C21" s="181"/>
      <c r="D21" s="186" t="s">
        <v>540</v>
      </c>
      <c r="E21" s="181"/>
      <c r="F21" s="181"/>
      <c r="G21" s="181"/>
      <c r="H21" s="181"/>
      <c r="I21" s="181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81"/>
      <c r="U21" s="181"/>
      <c r="V21" s="181"/>
      <c r="W21" s="181"/>
      <c r="X21" s="181"/>
    </row>
    <row r="22" spans="1:24" s="180" customFormat="1" x14ac:dyDescent="0.2">
      <c r="A22" s="319" t="str">
        <f>F_Inputs!B183</f>
        <v>C_PR24PD27_REV_WR_PR24_BYA</v>
      </c>
      <c r="B22" s="181"/>
      <c r="C22" s="181"/>
      <c r="D22" s="181"/>
      <c r="E22" s="154" t="s">
        <v>541</v>
      </c>
      <c r="F22" s="258">
        <f xml:space="preserve"> INDEX(F_Inputs!$A$1:$T$191,MATCH(A22,F_Inputs!$B:$B,0),MATCH($F$12,F_Inputs!$A$6:$S$6,1))</f>
        <v>0</v>
      </c>
      <c r="G22" s="181" t="str">
        <f t="shared" ref="G22:G29" si="0">$F$15</f>
        <v>£m (2017-18 FYA CPIH prices)</v>
      </c>
      <c r="H22" s="181"/>
      <c r="I22" s="181"/>
      <c r="J22" s="405"/>
      <c r="K22" s="405"/>
      <c r="L22" s="405"/>
      <c r="M22" s="405"/>
      <c r="N22" s="405"/>
      <c r="O22" s="154"/>
      <c r="P22" s="154"/>
      <c r="Q22" s="154"/>
      <c r="R22" s="154"/>
      <c r="S22" s="154"/>
      <c r="T22" s="181"/>
      <c r="U22" s="181"/>
      <c r="V22" s="181"/>
      <c r="W22" s="181"/>
      <c r="X22" s="181"/>
    </row>
    <row r="23" spans="1:24" s="180" customFormat="1" x14ac:dyDescent="0.2">
      <c r="A23" s="319" t="str">
        <f>F_Inputs!B184</f>
        <v>C_PR24PD27_REV_WN_PR24_BYA</v>
      </c>
      <c r="B23" s="181"/>
      <c r="C23" s="181"/>
      <c r="D23" s="181"/>
      <c r="E23" s="154" t="s">
        <v>542</v>
      </c>
      <c r="F23" s="258">
        <f xml:space="preserve"> INDEX(F_Inputs!$A$1:$T$191,MATCH(A23,F_Inputs!$B:$B,0),MATCH($F$12,F_Inputs!$A$6:$S$6,1))</f>
        <v>0</v>
      </c>
      <c r="G23" s="181" t="str">
        <f t="shared" si="0"/>
        <v>£m (2017-18 FYA CPIH prices)</v>
      </c>
      <c r="H23" s="181"/>
      <c r="I23" s="181"/>
      <c r="J23" s="405"/>
      <c r="K23" s="154"/>
      <c r="L23" s="154"/>
      <c r="M23" s="154"/>
      <c r="N23" s="154"/>
      <c r="O23" s="154"/>
      <c r="P23" s="154"/>
      <c r="Q23" s="154"/>
      <c r="R23" s="154"/>
      <c r="S23" s="154"/>
      <c r="T23" s="181"/>
      <c r="U23" s="181"/>
      <c r="V23" s="181"/>
      <c r="W23" s="181"/>
      <c r="X23" s="181"/>
    </row>
    <row r="24" spans="1:24" s="180" customFormat="1" x14ac:dyDescent="0.2">
      <c r="A24" s="319" t="str">
        <f>F_Inputs!B185</f>
        <v>C_PR24PD27_REV_WWN_PR24_BYA</v>
      </c>
      <c r="B24" s="181"/>
      <c r="C24" s="181"/>
      <c r="D24" s="181"/>
      <c r="E24" s="154" t="s">
        <v>543</v>
      </c>
      <c r="F24" s="258">
        <f xml:space="preserve"> INDEX(F_Inputs!$A$1:$T$191,MATCH(A24,F_Inputs!$B:$B,0),MATCH($F$12,F_Inputs!$A$6:$S$6,1))</f>
        <v>0</v>
      </c>
      <c r="G24" s="181" t="str">
        <f t="shared" si="0"/>
        <v>£m (2017-18 FYA CPIH prices)</v>
      </c>
      <c r="H24" s="181"/>
      <c r="I24" s="181"/>
      <c r="J24" s="405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</row>
    <row r="25" spans="1:24" s="180" customFormat="1" x14ac:dyDescent="0.2">
      <c r="A25" s="319" t="str">
        <f>F_Inputs!B186</f>
        <v>C_PR24PD27_REV_BIO_PR24_BYA</v>
      </c>
      <c r="B25" s="181"/>
      <c r="C25" s="181"/>
      <c r="D25" s="181"/>
      <c r="E25" s="154" t="s">
        <v>544</v>
      </c>
      <c r="F25" s="258">
        <f xml:space="preserve"> INDEX(F_Inputs!$A$1:$T$191,MATCH(A25,F_Inputs!$B:$B,0),MATCH($F$12,F_Inputs!$A$6:$S$6,1))</f>
        <v>0</v>
      </c>
      <c r="G25" s="181" t="str">
        <f t="shared" si="0"/>
        <v>£m (2017-18 FYA CPIH prices)</v>
      </c>
      <c r="H25" s="181"/>
      <c r="I25" s="181"/>
      <c r="J25" s="405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</row>
    <row r="26" spans="1:24" s="180" customFormat="1" x14ac:dyDescent="0.2">
      <c r="A26" s="319" t="str">
        <f>F_Inputs!B187</f>
        <v>C_PR24PD27_REV_RR_PR24_BYA</v>
      </c>
      <c r="B26" s="181"/>
      <c r="C26" s="181"/>
      <c r="D26" s="181"/>
      <c r="E26" s="154" t="s">
        <v>545</v>
      </c>
      <c r="F26" s="258">
        <f xml:space="preserve"> INDEX(F_Inputs!$A$1:$T$191,MATCH(A26,F_Inputs!$B:$B,0),MATCH($F$12,F_Inputs!$A$6:$S$6,1))</f>
        <v>0</v>
      </c>
      <c r="G26" s="181" t="str">
        <f t="shared" si="0"/>
        <v>£m (2017-18 FYA CPIH prices)</v>
      </c>
      <c r="H26" s="181"/>
      <c r="I26" s="181"/>
      <c r="J26" s="405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</row>
    <row r="27" spans="1:24" s="180" customFormat="1" x14ac:dyDescent="0.2">
      <c r="A27" s="319" t="str">
        <f>F_Inputs!B188</f>
        <v>C_PR24PD27_REV_BR_PR24_BYA</v>
      </c>
      <c r="B27" s="181"/>
      <c r="C27" s="181"/>
      <c r="D27" s="181"/>
      <c r="E27" s="154" t="s">
        <v>546</v>
      </c>
      <c r="F27" s="258">
        <f xml:space="preserve"> INDEX(F_Inputs!$A$1:$T$191,MATCH(A27,F_Inputs!$B:$B,0),MATCH($F$12,F_Inputs!$A$6:$S$6,1))</f>
        <v>0</v>
      </c>
      <c r="G27" s="181" t="str">
        <f t="shared" si="0"/>
        <v>£m (2017-18 FYA CPIH prices)</v>
      </c>
      <c r="H27" s="181"/>
      <c r="I27" s="181"/>
      <c r="J27" s="405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</row>
    <row r="28" spans="1:24" s="180" customFormat="1" x14ac:dyDescent="0.2">
      <c r="A28" s="319" t="str">
        <f>F_Inputs!B189</f>
        <v>C_PR24PD27_REV_ADDN1_PR24_BYA</v>
      </c>
      <c r="B28" s="181"/>
      <c r="C28" s="181"/>
      <c r="D28" s="181"/>
      <c r="E28" s="154" t="s">
        <v>547</v>
      </c>
      <c r="F28" s="258">
        <f xml:space="preserve"> INDEX(F_Inputs!$A$1:$T$191,MATCH(A28,F_Inputs!$B:$B,0),MATCH($F$12,F_Inputs!$A$6:$S$6,1))</f>
        <v>0</v>
      </c>
      <c r="G28" s="181" t="str">
        <f t="shared" si="0"/>
        <v>£m (2017-18 FYA CPIH prices)</v>
      </c>
      <c r="H28" s="181"/>
      <c r="I28" s="181"/>
      <c r="J28" s="405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</row>
    <row r="29" spans="1:24" s="180" customFormat="1" x14ac:dyDescent="0.2">
      <c r="A29" s="319" t="str">
        <f>F_Inputs!B190</f>
        <v>C_PR24PD27_REV_ADDN2_PR24_BYA</v>
      </c>
      <c r="B29" s="181"/>
      <c r="C29" s="181"/>
      <c r="D29" s="181"/>
      <c r="E29" s="154" t="s">
        <v>548</v>
      </c>
      <c r="F29" s="258">
        <f xml:space="preserve"> INDEX(F_Inputs!$A$1:$T$191,MATCH(A29,F_Inputs!$B:$B,0),MATCH($F$12,F_Inputs!$A$6:$S$6,1))</f>
        <v>0</v>
      </c>
      <c r="G29" s="181" t="str">
        <f t="shared" si="0"/>
        <v>£m (2017-18 FYA CPIH prices)</v>
      </c>
      <c r="H29" s="181"/>
      <c r="I29" s="181"/>
      <c r="J29" s="405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</row>
    <row r="30" spans="1:24" s="180" customFormat="1" x14ac:dyDescent="0.2">
      <c r="A30" s="181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</row>
    <row r="31" spans="1:24" s="180" customFormat="1" x14ac:dyDescent="0.2">
      <c r="A31" s="181"/>
      <c r="B31" s="181"/>
      <c r="C31" s="181"/>
      <c r="D31" s="186" t="s">
        <v>549</v>
      </c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</row>
    <row r="32" spans="1:24" s="180" customFormat="1" x14ac:dyDescent="0.2">
      <c r="A32" s="181" t="str">
        <f>F_Inputs!B132</f>
        <v>IPD02_OUT_01</v>
      </c>
      <c r="B32" s="181"/>
      <c r="C32" s="181"/>
      <c r="D32" s="181"/>
      <c r="E32" s="257" t="s">
        <v>446</v>
      </c>
      <c r="F32" s="258">
        <f xml:space="preserve"> INDEX(F_Inputs!$A$1:$T$191,MATCH(A32,F_Inputs!$B:$B,0),MATCH($F$12,F_Inputs!$A$6:$S$6,1))</f>
        <v>0</v>
      </c>
      <c r="G32" s="181" t="str">
        <f>$F$15</f>
        <v>£m (2017-18 FYA CPIH prices)</v>
      </c>
      <c r="H32" s="181"/>
      <c r="I32" s="181"/>
      <c r="J32" s="405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</row>
    <row r="33" spans="1:24" s="180" customFormat="1" x14ac:dyDescent="0.2">
      <c r="A33" s="181" t="str">
        <f>F_Inputs!B135</f>
        <v>IPD03_OUT_01</v>
      </c>
      <c r="B33" s="181"/>
      <c r="C33" s="181"/>
      <c r="D33" s="181"/>
      <c r="E33" s="181" t="s">
        <v>448</v>
      </c>
      <c r="F33" s="258">
        <f xml:space="preserve"> INDEX(F_Inputs!$A$1:$T$191,MATCH(A33,F_Inputs!$B:$B,0),MATCH($F$12,F_Inputs!$A$6:$S$6,1))</f>
        <v>0</v>
      </c>
      <c r="G33" s="181" t="str">
        <f>$F$15</f>
        <v>£m (2017-18 FYA CPIH prices)</v>
      </c>
      <c r="H33" s="181"/>
      <c r="I33" s="181"/>
      <c r="J33" s="405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</row>
    <row r="34" spans="1:24" s="180" customFormat="1" x14ac:dyDescent="0.2">
      <c r="A34" s="178" t="str">
        <f>F_Inputs!B137</f>
        <v>IPD03_OUT_03</v>
      </c>
      <c r="B34" s="181"/>
      <c r="C34" s="414"/>
      <c r="D34" s="181"/>
      <c r="E34" s="181" t="s">
        <v>450</v>
      </c>
      <c r="F34" s="258">
        <f xml:space="preserve"> INDEX(F_Inputs!$A$1:$T$191,MATCH(A34,F_Inputs!$B:$B,0),MATCH($F$12,F_Inputs!$A$6:$S$6,1))</f>
        <v>0</v>
      </c>
      <c r="G34" s="181" t="str">
        <f>$F$15</f>
        <v>£m (2017-18 FYA CPIH prices)</v>
      </c>
      <c r="H34" s="181"/>
      <c r="I34" s="181"/>
      <c r="J34" s="405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</row>
    <row r="35" spans="1:24" s="180" customFormat="1" x14ac:dyDescent="0.2">
      <c r="A35" s="181" t="str">
        <f>F_Inputs!B136</f>
        <v>IPD03_OUT_02</v>
      </c>
      <c r="B35" s="181"/>
      <c r="C35" s="181"/>
      <c r="D35" s="181"/>
      <c r="E35" s="181" t="s">
        <v>452</v>
      </c>
      <c r="F35" s="258">
        <f xml:space="preserve"> INDEX(F_Inputs!$A$1:$T$191,MATCH(A35,F_Inputs!$B:$B,0),MATCH($F$12,F_Inputs!$A$6:$S$6,1))</f>
        <v>0</v>
      </c>
      <c r="G35" s="181" t="str">
        <f>$F$15</f>
        <v>£m (2017-18 FYA CPIH prices)</v>
      </c>
      <c r="H35" s="181"/>
      <c r="I35" s="181"/>
      <c r="J35" s="405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</row>
    <row r="36" spans="1:24" s="180" customFormat="1" x14ac:dyDescent="0.2">
      <c r="A36" s="181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</row>
    <row r="37" spans="1:24" s="180" customFormat="1" x14ac:dyDescent="0.2">
      <c r="A37" s="181"/>
      <c r="B37" s="181"/>
      <c r="C37" s="181"/>
      <c r="D37" s="259" t="s">
        <v>550</v>
      </c>
      <c r="E37" s="257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</row>
    <row r="38" spans="1:24" s="180" customFormat="1" x14ac:dyDescent="0.2">
      <c r="A38" s="181" t="str">
        <f>F_Inputs!B138</f>
        <v>IPD04_IN_01</v>
      </c>
      <c r="B38" s="181"/>
      <c r="C38" s="181"/>
      <c r="D38" s="181"/>
      <c r="E38" s="154" t="s">
        <v>551</v>
      </c>
      <c r="F38" s="258">
        <f xml:space="preserve"> INDEX(F_Inputs!$A$1:$T$191,MATCH(A38,F_Inputs!$B:$B,0),MATCH($F$12,F_Inputs!$A$6:$S$6,1))</f>
        <v>0</v>
      </c>
      <c r="G38" s="181" t="str">
        <f t="shared" ref="G38:G45" si="1">$F$15</f>
        <v>£m (2017-18 FYA CPIH prices)</v>
      </c>
      <c r="H38" s="181"/>
      <c r="I38" s="181"/>
      <c r="J38" s="405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</row>
    <row r="39" spans="1:24" s="180" customFormat="1" x14ac:dyDescent="0.2">
      <c r="A39" s="181" t="str">
        <f>F_Inputs!B139</f>
        <v>IPD04_IN_02</v>
      </c>
      <c r="B39" s="181"/>
      <c r="C39" s="181"/>
      <c r="D39" s="181"/>
      <c r="E39" s="154" t="s">
        <v>552</v>
      </c>
      <c r="F39" s="258">
        <f xml:space="preserve"> INDEX(F_Inputs!$A$1:$T$191,MATCH(A39,F_Inputs!$B:$B,0),MATCH($F$12,F_Inputs!$A$6:$S$6,1))</f>
        <v>0</v>
      </c>
      <c r="G39" s="181" t="str">
        <f t="shared" si="1"/>
        <v>£m (2017-18 FYA CPIH prices)</v>
      </c>
      <c r="H39" s="181"/>
      <c r="I39" s="181"/>
      <c r="J39" s="405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</row>
    <row r="40" spans="1:24" s="180" customFormat="1" x14ac:dyDescent="0.2">
      <c r="A40" s="181" t="str">
        <f>F_Inputs!B140</f>
        <v>IPD04_IN_03</v>
      </c>
      <c r="B40" s="181"/>
      <c r="C40" s="181"/>
      <c r="D40" s="181"/>
      <c r="E40" s="154" t="s">
        <v>553</v>
      </c>
      <c r="F40" s="258">
        <f xml:space="preserve"> INDEX(F_Inputs!$A$1:$T$191,MATCH(A40,F_Inputs!$B:$B,0),MATCH($F$12,F_Inputs!$A$6:$S$6,1))</f>
        <v>0</v>
      </c>
      <c r="G40" s="181" t="str">
        <f t="shared" si="1"/>
        <v>£m (2017-18 FYA CPIH prices)</v>
      </c>
      <c r="H40" s="181"/>
      <c r="I40" s="181"/>
      <c r="J40" s="405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</row>
    <row r="41" spans="1:24" s="180" customFormat="1" x14ac:dyDescent="0.2">
      <c r="A41" s="181" t="str">
        <f>F_Inputs!B141</f>
        <v>IPD04_IN_04</v>
      </c>
      <c r="B41" s="181"/>
      <c r="C41" s="181"/>
      <c r="D41" s="181"/>
      <c r="E41" s="154" t="s">
        <v>554</v>
      </c>
      <c r="F41" s="258">
        <f xml:space="preserve"> INDEX(F_Inputs!$A$1:$T$191,MATCH(A41,F_Inputs!$B:$B,0),MATCH($F$12,F_Inputs!$A$6:$S$6,1))</f>
        <v>0</v>
      </c>
      <c r="G41" s="181" t="str">
        <f t="shared" si="1"/>
        <v>£m (2017-18 FYA CPIH prices)</v>
      </c>
      <c r="H41" s="181"/>
      <c r="I41" s="181"/>
      <c r="J41" s="405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</row>
    <row r="42" spans="1:24" s="180" customFormat="1" x14ac:dyDescent="0.2">
      <c r="A42" s="181" t="str">
        <f>F_Inputs!B142</f>
        <v>IPD04_IN_05</v>
      </c>
      <c r="B42" s="181"/>
      <c r="C42" s="181"/>
      <c r="D42" s="181"/>
      <c r="E42" s="154" t="s">
        <v>555</v>
      </c>
      <c r="F42" s="258">
        <f xml:space="preserve"> INDEX(F_Inputs!$A$1:$T$191,MATCH(A42,F_Inputs!$B:$B,0),MATCH($F$12,F_Inputs!$A$6:$S$6,1))</f>
        <v>0</v>
      </c>
      <c r="G42" s="181" t="str">
        <f t="shared" si="1"/>
        <v>£m (2017-18 FYA CPIH prices)</v>
      </c>
      <c r="H42" s="181"/>
      <c r="I42" s="181"/>
      <c r="J42" s="405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</row>
    <row r="43" spans="1:24" s="180" customFormat="1" x14ac:dyDescent="0.2">
      <c r="A43" s="181" t="str">
        <f>F_Inputs!B143</f>
        <v>IPD04_IN_06</v>
      </c>
      <c r="B43" s="181"/>
      <c r="C43" s="181"/>
      <c r="D43" s="181"/>
      <c r="E43" s="154" t="s">
        <v>556</v>
      </c>
      <c r="F43" s="258">
        <f xml:space="preserve"> INDEX(F_Inputs!$A$1:$T$191,MATCH(A43,F_Inputs!$B:$B,0),MATCH($F$12,F_Inputs!$A$6:$S$6,1))</f>
        <v>0</v>
      </c>
      <c r="G43" s="181" t="str">
        <f t="shared" si="1"/>
        <v>£m (2017-18 FYA CPIH prices)</v>
      </c>
      <c r="H43" s="181"/>
      <c r="I43" s="181"/>
      <c r="J43" s="405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</row>
    <row r="44" spans="1:24" s="180" customFormat="1" x14ac:dyDescent="0.2">
      <c r="A44" s="181" t="str">
        <f>F_Inputs!B144</f>
        <v>IPD04_IN_07</v>
      </c>
      <c r="B44" s="181"/>
      <c r="C44" s="181"/>
      <c r="D44" s="181"/>
      <c r="E44" s="154" t="s">
        <v>557</v>
      </c>
      <c r="F44" s="258">
        <f xml:space="preserve"> INDEX(F_Inputs!$A$1:$T$191,MATCH(A44,F_Inputs!$B:$B,0),MATCH($F$12,F_Inputs!$A$6:$S$6,1))</f>
        <v>0</v>
      </c>
      <c r="G44" s="181" t="str">
        <f t="shared" si="1"/>
        <v>£m (2017-18 FYA CPIH prices)</v>
      </c>
      <c r="H44" s="181"/>
      <c r="I44" s="181"/>
      <c r="J44" s="405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</row>
    <row r="45" spans="1:24" s="180" customFormat="1" x14ac:dyDescent="0.2">
      <c r="A45" s="178" t="str">
        <f>F_Inputs!B145</f>
        <v>IPD04_IN_07a</v>
      </c>
      <c r="B45" s="181"/>
      <c r="C45" s="181"/>
      <c r="D45" s="181"/>
      <c r="E45" s="154" t="s">
        <v>558</v>
      </c>
      <c r="F45" s="258">
        <f xml:space="preserve"> INDEX(F_Inputs!$A$1:$T$191,MATCH(A45,F_Inputs!$B:$B,0),MATCH($F$12,F_Inputs!$A$6:$S$6,1))</f>
        <v>0</v>
      </c>
      <c r="G45" s="181" t="str">
        <f t="shared" si="1"/>
        <v>£m (2017-18 FYA CPIH prices)</v>
      </c>
      <c r="H45" s="181"/>
      <c r="I45" s="181"/>
      <c r="J45" s="405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</row>
    <row r="46" spans="1:24" s="180" customFormat="1" x14ac:dyDescent="0.2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</row>
    <row r="47" spans="1:24" s="180" customFormat="1" x14ac:dyDescent="0.2">
      <c r="A47" s="181"/>
      <c r="B47" s="181"/>
      <c r="C47" s="185" t="s">
        <v>559</v>
      </c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</row>
    <row r="48" spans="1:24" s="180" customFormat="1" x14ac:dyDescent="0.2">
      <c r="A48" s="181"/>
      <c r="B48" s="181"/>
      <c r="C48" s="185"/>
      <c r="D48" s="187" t="s">
        <v>560</v>
      </c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</row>
    <row r="49" spans="1:24" s="180" customFormat="1" x14ac:dyDescent="0.2">
      <c r="A49" s="181"/>
      <c r="B49" s="181"/>
      <c r="C49" s="185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</row>
    <row r="50" spans="1:24" s="180" customFormat="1" x14ac:dyDescent="0.2">
      <c r="A50" s="181"/>
      <c r="B50" s="181"/>
      <c r="C50" s="181"/>
      <c r="D50" s="186" t="s">
        <v>561</v>
      </c>
      <c r="E50" s="181"/>
      <c r="F50" s="181"/>
      <c r="G50" s="181"/>
      <c r="H50" s="188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</row>
    <row r="51" spans="1:24" s="180" customFormat="1" x14ac:dyDescent="0.2">
      <c r="A51" s="181" t="str">
        <f>F_Inputs!B146</f>
        <v>IPD04_IN_11</v>
      </c>
      <c r="B51" s="181"/>
      <c r="C51" s="181"/>
      <c r="D51" s="181"/>
      <c r="E51" s="181" t="s">
        <v>562</v>
      </c>
      <c r="F51" s="258">
        <f xml:space="preserve"> INDEX(F_Inputs!$A$1:$T$191,MATCH(A51,F_Inputs!$B:$B,0),MATCH($F$12,F_Inputs!$A$6:$S$6,1))</f>
        <v>0</v>
      </c>
      <c r="G51" s="181" t="str">
        <f t="shared" ref="G51:G58" si="2">$F$15</f>
        <v>£m (2017-18 FYA CPIH prices)</v>
      </c>
      <c r="H51" s="181"/>
      <c r="I51" s="181"/>
      <c r="J51" s="405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</row>
    <row r="52" spans="1:24" s="180" customFormat="1" x14ac:dyDescent="0.2">
      <c r="A52" s="181" t="str">
        <f>F_Inputs!B147</f>
        <v>IPD04_IN_12</v>
      </c>
      <c r="B52" s="181"/>
      <c r="C52" s="181"/>
      <c r="D52" s="181"/>
      <c r="E52" s="181" t="s">
        <v>563</v>
      </c>
      <c r="F52" s="258">
        <f xml:space="preserve"> INDEX(F_Inputs!$A$1:$T$191,MATCH(A52,F_Inputs!$B:$B,0),MATCH($F$12,F_Inputs!$A$6:$S$6,1))</f>
        <v>0</v>
      </c>
      <c r="G52" s="181" t="str">
        <f t="shared" si="2"/>
        <v>£m (2017-18 FYA CPIH prices)</v>
      </c>
      <c r="H52" s="181"/>
      <c r="I52" s="181"/>
      <c r="J52" s="405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</row>
    <row r="53" spans="1:24" s="180" customFormat="1" x14ac:dyDescent="0.2">
      <c r="A53" s="181" t="str">
        <f>F_Inputs!B148</f>
        <v>IPD04_IN_13</v>
      </c>
      <c r="B53" s="181"/>
      <c r="C53" s="181"/>
      <c r="D53" s="181"/>
      <c r="E53" s="181" t="s">
        <v>564</v>
      </c>
      <c r="F53" s="258">
        <f xml:space="preserve"> INDEX(F_Inputs!$A$1:$T$191,MATCH(A53,F_Inputs!$B:$B,0),MATCH($F$12,F_Inputs!$A$6:$S$6,1))</f>
        <v>0</v>
      </c>
      <c r="G53" s="181" t="str">
        <f t="shared" si="2"/>
        <v>£m (2017-18 FYA CPIH prices)</v>
      </c>
      <c r="H53" s="181"/>
      <c r="I53" s="181"/>
      <c r="J53" s="405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</row>
    <row r="54" spans="1:24" s="180" customFormat="1" x14ac:dyDescent="0.2">
      <c r="A54" s="181" t="str">
        <f>F_Inputs!B149</f>
        <v>IPD04_IN_14</v>
      </c>
      <c r="B54" s="181"/>
      <c r="C54" s="181"/>
      <c r="D54" s="181"/>
      <c r="E54" s="181" t="s">
        <v>565</v>
      </c>
      <c r="F54" s="258">
        <f xml:space="preserve"> INDEX(F_Inputs!$A$1:$T$191,MATCH(A54,F_Inputs!$B:$B,0),MATCH($F$12,F_Inputs!$A$6:$S$6,1))</f>
        <v>0</v>
      </c>
      <c r="G54" s="181" t="str">
        <f t="shared" si="2"/>
        <v>£m (2017-18 FYA CPIH prices)</v>
      </c>
      <c r="H54" s="181"/>
      <c r="I54" s="181"/>
      <c r="J54" s="405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</row>
    <row r="55" spans="1:24" s="180" customFormat="1" x14ac:dyDescent="0.2">
      <c r="A55" s="181" t="str">
        <f>F_Inputs!B150</f>
        <v>IPD04_IN_15</v>
      </c>
      <c r="B55" s="181"/>
      <c r="C55" s="181"/>
      <c r="D55" s="181"/>
      <c r="E55" s="181" t="s">
        <v>566</v>
      </c>
      <c r="F55" s="258">
        <f xml:space="preserve"> INDEX(F_Inputs!$A$1:$T$191,MATCH(A55,F_Inputs!$B:$B,0),MATCH($F$12,F_Inputs!$A$6:$S$6,1))</f>
        <v>0</v>
      </c>
      <c r="G55" s="181" t="str">
        <f t="shared" si="2"/>
        <v>£m (2017-18 FYA CPIH prices)</v>
      </c>
      <c r="H55" s="181"/>
      <c r="I55" s="181"/>
      <c r="J55" s="405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</row>
    <row r="56" spans="1:24" s="180" customFormat="1" x14ac:dyDescent="0.2">
      <c r="A56" s="181" t="str">
        <f>F_Inputs!B151</f>
        <v>IPD04_IN_16</v>
      </c>
      <c r="B56" s="181"/>
      <c r="C56" s="181"/>
      <c r="D56" s="181"/>
      <c r="E56" s="181" t="s">
        <v>567</v>
      </c>
      <c r="F56" s="258">
        <f xml:space="preserve"> INDEX(F_Inputs!$A$1:$T$191,MATCH(A56,F_Inputs!$B:$B,0),MATCH($F$12,F_Inputs!$A$6:$S$6,1))</f>
        <v>0</v>
      </c>
      <c r="G56" s="181" t="str">
        <f t="shared" si="2"/>
        <v>£m (2017-18 FYA CPIH prices)</v>
      </c>
      <c r="H56" s="181"/>
      <c r="I56" s="181"/>
      <c r="J56" s="405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</row>
    <row r="57" spans="1:24" s="180" customFormat="1" x14ac:dyDescent="0.2">
      <c r="A57" s="181" t="str">
        <f>F_Inputs!B152</f>
        <v>IPD04_IN_17</v>
      </c>
      <c r="B57" s="181"/>
      <c r="C57" s="181"/>
      <c r="D57" s="181"/>
      <c r="E57" s="181" t="s">
        <v>568</v>
      </c>
      <c r="F57" s="258">
        <f xml:space="preserve"> INDEX(F_Inputs!$A$1:$T$191,MATCH(A57,F_Inputs!$B:$B,0),MATCH($F$12,F_Inputs!$A$6:$S$6,1))</f>
        <v>0</v>
      </c>
      <c r="G57" s="181" t="str">
        <f t="shared" si="2"/>
        <v>£m (2017-18 FYA CPIH prices)</v>
      </c>
      <c r="H57" s="181"/>
      <c r="I57" s="181"/>
      <c r="J57" s="405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</row>
    <row r="58" spans="1:24" s="180" customFormat="1" x14ac:dyDescent="0.2">
      <c r="A58" s="178" t="str">
        <f>F_Inputs!B153</f>
        <v>IPD04_IN_17a</v>
      </c>
      <c r="B58" s="181"/>
      <c r="C58" s="181"/>
      <c r="D58" s="181"/>
      <c r="E58" s="181" t="s">
        <v>569</v>
      </c>
      <c r="F58" s="258">
        <f xml:space="preserve"> INDEX(F_Inputs!$A$1:$T$191,MATCH(A58,F_Inputs!$B:$B,0),MATCH($F$12,F_Inputs!$A$6:$S$6,1))</f>
        <v>0</v>
      </c>
      <c r="G58" s="181" t="str">
        <f t="shared" si="2"/>
        <v>£m (2017-18 FYA CPIH prices)</v>
      </c>
      <c r="H58" s="181"/>
      <c r="I58" s="181"/>
      <c r="J58" s="405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</row>
    <row r="59" spans="1:24" s="180" customFormat="1" x14ac:dyDescent="0.2">
      <c r="A59" s="181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</row>
    <row r="60" spans="1:24" s="180" customFormat="1" x14ac:dyDescent="0.2">
      <c r="A60" s="181"/>
      <c r="B60" s="181"/>
      <c r="C60" s="181"/>
      <c r="D60" s="186" t="s">
        <v>570</v>
      </c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</row>
    <row r="61" spans="1:24" s="180" customFormat="1" x14ac:dyDescent="0.2">
      <c r="A61" s="181" t="str">
        <f>F_Inputs!B154</f>
        <v>IPD04_IN_21</v>
      </c>
      <c r="B61" s="181"/>
      <c r="C61" s="181"/>
      <c r="D61" s="181"/>
      <c r="E61" s="181" t="s">
        <v>571</v>
      </c>
      <c r="F61" s="258">
        <f xml:space="preserve"> INDEX(F_Inputs!$A$1:$T$191,MATCH(A61,F_Inputs!$B:$B,0),MATCH($F$12,F_Inputs!$A$6:$S$6,1))</f>
        <v>0</v>
      </c>
      <c r="G61" s="181" t="str">
        <f t="shared" ref="G61:G68" si="3">$F$15</f>
        <v>£m (2017-18 FYA CPIH prices)</v>
      </c>
      <c r="H61" s="181"/>
      <c r="I61" s="181"/>
      <c r="J61" s="405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</row>
    <row r="62" spans="1:24" s="180" customFormat="1" x14ac:dyDescent="0.2">
      <c r="A62" s="181" t="str">
        <f>F_Inputs!B155</f>
        <v>IPD04_IN_22</v>
      </c>
      <c r="B62" s="181"/>
      <c r="C62" s="181"/>
      <c r="D62" s="181"/>
      <c r="E62" s="181" t="s">
        <v>572</v>
      </c>
      <c r="F62" s="258">
        <f xml:space="preserve"> INDEX(F_Inputs!$A$1:$T$191,MATCH(A62,F_Inputs!$B:$B,0),MATCH($F$12,F_Inputs!$A$6:$S$6,1))</f>
        <v>0</v>
      </c>
      <c r="G62" s="181" t="str">
        <f t="shared" si="3"/>
        <v>£m (2017-18 FYA CPIH prices)</v>
      </c>
      <c r="H62" s="181"/>
      <c r="I62" s="181"/>
      <c r="J62" s="405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</row>
    <row r="63" spans="1:24" s="180" customFormat="1" x14ac:dyDescent="0.2">
      <c r="A63" s="181" t="str">
        <f>F_Inputs!B156</f>
        <v>IPD04_IN_23</v>
      </c>
      <c r="B63" s="181"/>
      <c r="C63" s="181"/>
      <c r="D63" s="181"/>
      <c r="E63" s="181" t="s">
        <v>573</v>
      </c>
      <c r="F63" s="258">
        <f xml:space="preserve"> INDEX(F_Inputs!$A$1:$T$191,MATCH(A63,F_Inputs!$B:$B,0),MATCH($F$12,F_Inputs!$A$6:$S$6,1))</f>
        <v>0</v>
      </c>
      <c r="G63" s="181" t="str">
        <f t="shared" si="3"/>
        <v>£m (2017-18 FYA CPIH prices)</v>
      </c>
      <c r="H63" s="181"/>
      <c r="I63" s="181"/>
      <c r="J63" s="405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</row>
    <row r="64" spans="1:24" s="180" customFormat="1" x14ac:dyDescent="0.2">
      <c r="A64" s="181" t="str">
        <f>F_Inputs!B157</f>
        <v>IPD04_IN_24</v>
      </c>
      <c r="B64" s="181"/>
      <c r="C64" s="181"/>
      <c r="D64" s="181"/>
      <c r="E64" s="181" t="s">
        <v>574</v>
      </c>
      <c r="F64" s="258">
        <f xml:space="preserve"> INDEX(F_Inputs!$A$1:$T$191,MATCH(A64,F_Inputs!$B:$B,0),MATCH($F$12,F_Inputs!$A$6:$S$6,1))</f>
        <v>0</v>
      </c>
      <c r="G64" s="181" t="str">
        <f t="shared" si="3"/>
        <v>£m (2017-18 FYA CPIH prices)</v>
      </c>
      <c r="H64" s="181"/>
      <c r="I64" s="181"/>
      <c r="J64" s="405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</row>
    <row r="65" spans="1:24" s="180" customFormat="1" x14ac:dyDescent="0.2">
      <c r="A65" s="181" t="str">
        <f>F_Inputs!B158</f>
        <v>IPD04_IN_25</v>
      </c>
      <c r="B65" s="181"/>
      <c r="C65" s="181"/>
      <c r="D65" s="181"/>
      <c r="E65" s="181" t="s">
        <v>575</v>
      </c>
      <c r="F65" s="258">
        <f xml:space="preserve"> INDEX(F_Inputs!$A$1:$T$191,MATCH(A65,F_Inputs!$B:$B,0),MATCH($F$12,F_Inputs!$A$6:$S$6,1))</f>
        <v>0</v>
      </c>
      <c r="G65" s="181" t="str">
        <f t="shared" si="3"/>
        <v>£m (2017-18 FYA CPIH prices)</v>
      </c>
      <c r="H65" s="181"/>
      <c r="I65" s="181"/>
      <c r="J65" s="405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</row>
    <row r="66" spans="1:24" s="152" customFormat="1" x14ac:dyDescent="0.2">
      <c r="A66" s="181" t="str">
        <f>F_Inputs!B159</f>
        <v>IPD04_IN_26</v>
      </c>
      <c r="B66" s="181"/>
      <c r="C66" s="181"/>
      <c r="D66" s="181"/>
      <c r="E66" s="181" t="s">
        <v>576</v>
      </c>
      <c r="F66" s="258">
        <f xml:space="preserve"> INDEX(F_Inputs!$A$1:$T$191,MATCH(A66,F_Inputs!$B:$B,0),MATCH($F$12,F_Inputs!$A$6:$S$6,1))</f>
        <v>0</v>
      </c>
      <c r="G66" s="181" t="str">
        <f t="shared" si="3"/>
        <v>£m (2017-18 FYA CPIH prices)</v>
      </c>
      <c r="H66" s="181"/>
      <c r="I66" s="154"/>
      <c r="J66" s="405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</row>
    <row r="67" spans="1:24" s="180" customFormat="1" x14ac:dyDescent="0.2">
      <c r="A67" s="181" t="str">
        <f>F_Inputs!B160</f>
        <v>IPD04_IN_27</v>
      </c>
      <c r="B67" s="181"/>
      <c r="C67" s="181"/>
      <c r="D67" s="181"/>
      <c r="E67" s="181" t="s">
        <v>577</v>
      </c>
      <c r="F67" s="258">
        <f xml:space="preserve"> INDEX(F_Inputs!$A$1:$T$191,MATCH(A67,F_Inputs!$B:$B,0),MATCH($F$12,F_Inputs!$A$6:$S$6,1))</f>
        <v>0</v>
      </c>
      <c r="G67" s="181" t="str">
        <f t="shared" si="3"/>
        <v>£m (2017-18 FYA CPIH prices)</v>
      </c>
      <c r="H67" s="181"/>
      <c r="I67" s="181"/>
      <c r="J67" s="405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</row>
    <row r="68" spans="1:24" s="180" customFormat="1" x14ac:dyDescent="0.2">
      <c r="A68" s="178" t="str">
        <f>F_Inputs!B161</f>
        <v>IPD04_IN_27a</v>
      </c>
      <c r="B68" s="181"/>
      <c r="C68" s="181"/>
      <c r="D68" s="181"/>
      <c r="E68" s="181" t="s">
        <v>578</v>
      </c>
      <c r="F68" s="258">
        <f xml:space="preserve"> INDEX(F_Inputs!$A$1:$T$191,MATCH(A68,F_Inputs!$B:$B,0),MATCH($F$12,F_Inputs!$A$6:$S$6,1))</f>
        <v>0</v>
      </c>
      <c r="G68" s="181" t="str">
        <f t="shared" si="3"/>
        <v>£m (2017-18 FYA CPIH prices)</v>
      </c>
      <c r="H68" s="181"/>
      <c r="I68" s="181"/>
      <c r="J68" s="405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</row>
    <row r="69" spans="1:24" s="180" customFormat="1" x14ac:dyDescent="0.2">
      <c r="A69" s="181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</row>
    <row r="70" spans="1:24" s="180" customFormat="1" x14ac:dyDescent="0.2">
      <c r="A70" s="181"/>
      <c r="B70" s="181"/>
      <c r="C70" s="185" t="s">
        <v>579</v>
      </c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</row>
    <row r="71" spans="1:24" s="180" customFormat="1" x14ac:dyDescent="0.2">
      <c r="A71" s="181"/>
      <c r="B71" s="181"/>
      <c r="C71" s="185"/>
      <c r="D71" s="187" t="s">
        <v>580</v>
      </c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</row>
    <row r="72" spans="1:24" s="180" customFormat="1" x14ac:dyDescent="0.2">
      <c r="A72" s="181"/>
      <c r="B72" s="181"/>
      <c r="C72" s="185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</row>
    <row r="73" spans="1:24" s="180" customFormat="1" x14ac:dyDescent="0.2">
      <c r="A73" s="181" t="str">
        <f>F_Inputs!B162</f>
        <v>IPD04_IN_31</v>
      </c>
      <c r="B73" s="181"/>
      <c r="C73" s="181"/>
      <c r="D73" s="181"/>
      <c r="E73" s="181" t="s">
        <v>430</v>
      </c>
      <c r="F73" s="258">
        <f xml:space="preserve"> INDEX(F_Inputs!$A$1:$T$191,MATCH(A73,F_Inputs!$B:$B,0),MATCH($F$12,F_Inputs!$A$6:$S$6,1))</f>
        <v>0</v>
      </c>
      <c r="G73" s="181" t="str">
        <f t="shared" ref="G73:G80" si="4">$F$15</f>
        <v>£m (2017-18 FYA CPIH prices)</v>
      </c>
      <c r="H73" s="257"/>
      <c r="I73" s="181"/>
      <c r="J73" s="405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</row>
    <row r="74" spans="1:24" s="180" customFormat="1" x14ac:dyDescent="0.2">
      <c r="A74" s="181" t="str">
        <f>F_Inputs!B163</f>
        <v>IPD04_IN_32</v>
      </c>
      <c r="B74" s="181"/>
      <c r="C74" s="181"/>
      <c r="D74" s="181"/>
      <c r="E74" s="181" t="s">
        <v>432</v>
      </c>
      <c r="F74" s="258">
        <f xml:space="preserve"> INDEX(F_Inputs!$A$1:$T$191,MATCH(A74,F_Inputs!$B:$B,0),MATCH($F$12,F_Inputs!$A$6:$S$6,1))</f>
        <v>0</v>
      </c>
      <c r="G74" s="181" t="str">
        <f t="shared" si="4"/>
        <v>£m (2017-18 FYA CPIH prices)</v>
      </c>
      <c r="H74" s="257"/>
      <c r="I74" s="181"/>
      <c r="J74" s="405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</row>
    <row r="75" spans="1:24" s="180" customFormat="1" x14ac:dyDescent="0.2">
      <c r="A75" s="181" t="str">
        <f>F_Inputs!B164</f>
        <v>IPD04_IN_33</v>
      </c>
      <c r="B75" s="181"/>
      <c r="C75" s="181"/>
      <c r="D75" s="181"/>
      <c r="E75" s="181" t="s">
        <v>434</v>
      </c>
      <c r="F75" s="258">
        <f xml:space="preserve"> INDEX(F_Inputs!$A$1:$T$191,MATCH(A75,F_Inputs!$B:$B,0),MATCH($F$12,F_Inputs!$A$6:$S$6,1))</f>
        <v>0</v>
      </c>
      <c r="G75" s="181" t="str">
        <f t="shared" si="4"/>
        <v>£m (2017-18 FYA CPIH prices)</v>
      </c>
      <c r="H75" s="257"/>
      <c r="I75" s="181"/>
      <c r="J75" s="405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</row>
    <row r="76" spans="1:24" s="180" customFormat="1" x14ac:dyDescent="0.2">
      <c r="A76" s="181" t="str">
        <f>F_Inputs!B165</f>
        <v>IPD04_IN_34</v>
      </c>
      <c r="B76" s="181"/>
      <c r="C76" s="181"/>
      <c r="D76" s="181"/>
      <c r="E76" s="181" t="s">
        <v>436</v>
      </c>
      <c r="F76" s="258">
        <f xml:space="preserve"> INDEX(F_Inputs!$A$1:$T$191,MATCH(A76,F_Inputs!$B:$B,0),MATCH($F$12,F_Inputs!$A$6:$S$6,1))</f>
        <v>0</v>
      </c>
      <c r="G76" s="181" t="str">
        <f t="shared" si="4"/>
        <v>£m (2017-18 FYA CPIH prices)</v>
      </c>
      <c r="H76" s="257"/>
      <c r="I76" s="181"/>
      <c r="J76" s="405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</row>
    <row r="77" spans="1:24" s="180" customFormat="1" x14ac:dyDescent="0.2">
      <c r="A77" s="181" t="str">
        <f>F_Inputs!B166</f>
        <v>IPD04_IN_35</v>
      </c>
      <c r="B77" s="181"/>
      <c r="C77" s="181"/>
      <c r="D77" s="181"/>
      <c r="E77" s="181" t="s">
        <v>438</v>
      </c>
      <c r="F77" s="258">
        <f xml:space="preserve"> INDEX(F_Inputs!$A$1:$T$191,MATCH(A77,F_Inputs!$B:$B,0),MATCH($F$12,F_Inputs!$A$6:$S$6,1))</f>
        <v>0</v>
      </c>
      <c r="G77" s="181" t="str">
        <f t="shared" si="4"/>
        <v>£m (2017-18 FYA CPIH prices)</v>
      </c>
      <c r="H77" s="257"/>
      <c r="I77" s="181"/>
      <c r="J77" s="405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</row>
    <row r="78" spans="1:24" s="180" customFormat="1" x14ac:dyDescent="0.2">
      <c r="A78" s="181" t="str">
        <f>F_Inputs!B167</f>
        <v>IPD04_IN_36</v>
      </c>
      <c r="B78" s="181"/>
      <c r="C78" s="181"/>
      <c r="D78" s="181"/>
      <c r="E78" s="181" t="s">
        <v>440</v>
      </c>
      <c r="F78" s="258">
        <f xml:space="preserve"> INDEX(F_Inputs!$A$1:$T$191,MATCH(A78,F_Inputs!$B:$B,0),MATCH($F$12,F_Inputs!$A$6:$S$6,1))</f>
        <v>0</v>
      </c>
      <c r="G78" s="181" t="str">
        <f t="shared" si="4"/>
        <v>£m (2017-18 FYA CPIH prices)</v>
      </c>
      <c r="H78" s="257"/>
      <c r="I78" s="181"/>
      <c r="J78" s="405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</row>
    <row r="79" spans="1:24" s="180" customFormat="1" x14ac:dyDescent="0.2">
      <c r="A79" s="181" t="str">
        <f>F_Inputs!B168</f>
        <v>IPD04_IN_37</v>
      </c>
      <c r="B79" s="181"/>
      <c r="C79" s="181"/>
      <c r="D79" s="181"/>
      <c r="E79" s="181" t="s">
        <v>442</v>
      </c>
      <c r="F79" s="258">
        <f xml:space="preserve"> INDEX(F_Inputs!$A$1:$T$191,MATCH(A79,F_Inputs!$B:$B,0),MATCH($F$12,F_Inputs!$A$6:$S$6,1))</f>
        <v>0</v>
      </c>
      <c r="G79" s="181" t="str">
        <f t="shared" si="4"/>
        <v>£m (2017-18 FYA CPIH prices)</v>
      </c>
      <c r="H79" s="257"/>
      <c r="I79" s="181"/>
      <c r="J79" s="405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</row>
    <row r="80" spans="1:24" s="180" customFormat="1" x14ac:dyDescent="0.2">
      <c r="A80" s="178" t="str">
        <f>F_Inputs!B169</f>
        <v>IPD04_IN_37a</v>
      </c>
      <c r="B80" s="181"/>
      <c r="C80" s="181"/>
      <c r="D80" s="181"/>
      <c r="E80" s="181" t="s">
        <v>444</v>
      </c>
      <c r="F80" s="258">
        <f xml:space="preserve"> INDEX(F_Inputs!$A$1:$T$191,MATCH(A80,F_Inputs!$B:$B,0),MATCH($F$12,F_Inputs!$A$6:$S$6,1))</f>
        <v>0</v>
      </c>
      <c r="G80" s="181" t="str">
        <f t="shared" si="4"/>
        <v>£m (2017-18 FYA CPIH prices)</v>
      </c>
      <c r="H80" s="257"/>
      <c r="I80" s="181"/>
      <c r="J80" s="405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</row>
    <row r="81" spans="1:25" s="180" customFormat="1" x14ac:dyDescent="0.2">
      <c r="A81" s="181"/>
      <c r="B81" s="181"/>
      <c r="C81" s="181"/>
      <c r="D81" s="181"/>
      <c r="E81" s="181"/>
      <c r="F81" s="181"/>
      <c r="G81" s="181"/>
      <c r="H81" s="257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</row>
    <row r="82" spans="1:25" s="209" customFormat="1" ht="13.5" x14ac:dyDescent="0.25">
      <c r="A82" s="209" t="s">
        <v>581</v>
      </c>
    </row>
    <row r="83" spans="1:25" s="180" customFormat="1" x14ac:dyDescent="0.2">
      <c r="A83" s="181"/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</row>
    <row r="84" spans="1:25" s="180" customFormat="1" x14ac:dyDescent="0.2">
      <c r="A84" s="181"/>
      <c r="B84" s="185" t="s">
        <v>582</v>
      </c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</row>
    <row r="85" spans="1:25" s="180" customFormat="1" x14ac:dyDescent="0.2">
      <c r="A85" s="181"/>
      <c r="B85" s="185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</row>
    <row r="86" spans="1:25" s="180" customFormat="1" x14ac:dyDescent="0.2">
      <c r="A86" s="178" t="str">
        <f>F_Inputs!B25</f>
        <v>C_PR24FM_RR9_003TOTAL_PR24</v>
      </c>
      <c r="B86" s="181"/>
      <c r="C86" s="181"/>
      <c r="D86" s="181"/>
      <c r="E86" s="181" t="s">
        <v>326</v>
      </c>
      <c r="F86" s="390">
        <f>F_Inputs!T25</f>
        <v>0</v>
      </c>
      <c r="G86" s="181" t="s">
        <v>583</v>
      </c>
      <c r="H86" s="181"/>
      <c r="I86" s="181"/>
      <c r="J86" s="405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</row>
    <row r="87" spans="1:25" s="180" customFormat="1" x14ac:dyDescent="0.2">
      <c r="A87" s="181" t="str">
        <f>F_Inputs!B26</f>
        <v>C_PR24FM_RR1_009</v>
      </c>
      <c r="B87" s="181"/>
      <c r="C87" s="181"/>
      <c r="D87" s="181"/>
      <c r="E87" s="181" t="s">
        <v>328</v>
      </c>
      <c r="F87" s="265">
        <f>F_Inputs!T26</f>
        <v>0</v>
      </c>
      <c r="G87" s="181" t="s">
        <v>583</v>
      </c>
      <c r="H87" s="181"/>
      <c r="I87" s="181"/>
      <c r="J87" s="405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</row>
    <row r="88" spans="1:25" s="180" customFormat="1" x14ac:dyDescent="0.2">
      <c r="A88" s="181"/>
      <c r="B88" s="181"/>
      <c r="C88" s="181"/>
      <c r="D88" s="181"/>
      <c r="E88" s="181" t="s">
        <v>330</v>
      </c>
      <c r="F88" s="266">
        <v>1</v>
      </c>
      <c r="G88" s="181" t="s">
        <v>584</v>
      </c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</row>
    <row r="89" spans="1:25" s="180" customFormat="1" x14ac:dyDescent="0.2">
      <c r="A89" s="181"/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</row>
    <row r="90" spans="1:25" s="180" customFormat="1" x14ac:dyDescent="0.2">
      <c r="A90" s="181" t="str">
        <f>F_Inputs!B170</f>
        <v>C_PR24FM_RR5_030_PR24</v>
      </c>
      <c r="B90" s="181"/>
      <c r="C90" s="181"/>
      <c r="D90" s="181"/>
      <c r="E90" s="260" t="s">
        <v>332</v>
      </c>
      <c r="F90" s="95"/>
      <c r="G90" s="95" t="s">
        <v>583</v>
      </c>
      <c r="H90" s="95"/>
      <c r="I90" s="87"/>
      <c r="J90" s="192"/>
      <c r="K90" s="192"/>
      <c r="L90" s="192"/>
      <c r="M90" s="192"/>
      <c r="N90" s="192"/>
      <c r="O90" s="192"/>
      <c r="P90" s="192"/>
      <c r="Q90" s="192"/>
      <c r="R90" s="198">
        <f>F_Inputs!L170</f>
        <v>0.25</v>
      </c>
      <c r="S90" s="198">
        <f>F_Inputs!M170</f>
        <v>0.25</v>
      </c>
      <c r="T90" s="198">
        <f>F_Inputs!N170</f>
        <v>0.25</v>
      </c>
      <c r="U90" s="198">
        <f>F_Inputs!O170</f>
        <v>0.25</v>
      </c>
      <c r="V90" s="198">
        <f>F_Inputs!P170</f>
        <v>0.25</v>
      </c>
      <c r="W90" s="198">
        <f>F_Inputs!Q170</f>
        <v>0.25</v>
      </c>
      <c r="X90" s="198">
        <f>F_Inputs!R170</f>
        <v>0.25</v>
      </c>
      <c r="Y90" s="405"/>
    </row>
    <row r="91" spans="1:25" s="180" customFormat="1" x14ac:dyDescent="0.2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</row>
    <row r="92" spans="1:25" s="180" customFormat="1" x14ac:dyDescent="0.2">
      <c r="A92" s="181" t="str">
        <f>F_Inputs!B178</f>
        <v>BB3905NR_PR24</v>
      </c>
      <c r="B92" s="181"/>
      <c r="C92" s="181"/>
      <c r="D92" s="181"/>
      <c r="E92" s="154" t="s">
        <v>334</v>
      </c>
      <c r="F92" s="154"/>
      <c r="G92" s="154" t="s">
        <v>155</v>
      </c>
      <c r="H92" s="154"/>
      <c r="I92" s="181"/>
      <c r="J92" s="272">
        <v>100.3</v>
      </c>
      <c r="K92" s="272">
        <v>101.8</v>
      </c>
      <c r="L92" s="272">
        <f>F_Inputs!F178</f>
        <v>104.7</v>
      </c>
      <c r="M92" s="272">
        <f>F_Inputs!G178</f>
        <v>106.9</v>
      </c>
      <c r="N92" s="272">
        <f>F_Inputs!H178</f>
        <v>108.5</v>
      </c>
      <c r="O92" s="368">
        <f>F_Inputs!I178</f>
        <v>109.1</v>
      </c>
      <c r="P92" s="368">
        <f>F_Inputs!J178</f>
        <v>114.1</v>
      </c>
      <c r="Q92" s="368">
        <f>F_Inputs!K178</f>
        <v>124.8</v>
      </c>
      <c r="R92" s="368">
        <f>F_Inputs!L178</f>
        <v>130</v>
      </c>
      <c r="S92" s="337">
        <f>F_Inputs!M178</f>
        <v>133.25</v>
      </c>
      <c r="T92" s="337">
        <f>F_Inputs!N178</f>
        <v>135.91499999999999</v>
      </c>
      <c r="U92" s="337">
        <f>F_Inputs!O178</f>
        <v>138.63329999999999</v>
      </c>
      <c r="V92" s="337">
        <f>F_Inputs!P178</f>
        <v>141.40596600000001</v>
      </c>
      <c r="W92" s="337">
        <f>F_Inputs!Q178</f>
        <v>144.23408531999999</v>
      </c>
      <c r="X92" s="337">
        <f>F_Inputs!R178</f>
        <v>147.11876702640001</v>
      </c>
      <c r="Y92" s="405"/>
    </row>
    <row r="93" spans="1:25" s="180" customFormat="1" x14ac:dyDescent="0.2">
      <c r="A93" s="181"/>
      <c r="B93" s="181"/>
      <c r="C93" s="181"/>
      <c r="D93" s="181"/>
      <c r="E93" s="154"/>
      <c r="F93" s="154"/>
      <c r="G93" s="154"/>
      <c r="H93" s="154"/>
      <c r="I93" s="181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81"/>
      <c r="U93" s="181"/>
      <c r="V93" s="181"/>
      <c r="W93" s="181"/>
      <c r="X93" s="181"/>
    </row>
    <row r="94" spans="1:25" s="180" customFormat="1" x14ac:dyDescent="0.2">
      <c r="A94" s="181"/>
      <c r="B94" s="181"/>
      <c r="C94" s="181"/>
      <c r="D94" s="186" t="s">
        <v>585</v>
      </c>
      <c r="E94" s="154"/>
      <c r="F94" s="154"/>
      <c r="G94" s="154"/>
      <c r="H94" s="154"/>
      <c r="I94" s="181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81"/>
      <c r="U94" s="181"/>
      <c r="V94" s="181"/>
      <c r="W94" s="181"/>
      <c r="X94" s="181"/>
    </row>
    <row r="95" spans="1:25" s="180" customFormat="1" x14ac:dyDescent="0.2">
      <c r="A95" s="181" t="str">
        <f>F_Inputs!B171</f>
        <v>BB3905AL_PR24</v>
      </c>
      <c r="B95" s="181"/>
      <c r="C95" s="181"/>
      <c r="D95" s="181"/>
      <c r="E95" s="154" t="s">
        <v>586</v>
      </c>
      <c r="F95" s="403">
        <f>F_Inputs!F171</f>
        <v>103.2</v>
      </c>
      <c r="G95" s="109" t="s">
        <v>155</v>
      </c>
      <c r="H95" s="154"/>
      <c r="I95" s="181"/>
      <c r="J95" s="405"/>
      <c r="K95" s="154"/>
      <c r="L95" s="154"/>
      <c r="M95" s="154"/>
      <c r="N95" s="154"/>
      <c r="O95" s="154"/>
      <c r="P95" s="154"/>
      <c r="Q95" s="154"/>
      <c r="R95" s="154"/>
      <c r="S95" s="154"/>
      <c r="T95" s="181"/>
      <c r="U95" s="181"/>
      <c r="V95" s="181"/>
      <c r="W95" s="181"/>
      <c r="X95" s="181"/>
    </row>
    <row r="96" spans="1:25" s="180" customFormat="1" x14ac:dyDescent="0.2">
      <c r="A96" s="181" t="str">
        <f>F_Inputs!B172</f>
        <v>BB3905MY_PR24</v>
      </c>
      <c r="B96" s="181"/>
      <c r="C96" s="181"/>
      <c r="D96" s="181"/>
      <c r="E96" s="154" t="s">
        <v>587</v>
      </c>
      <c r="F96" s="267">
        <f>F_Inputs!F172</f>
        <v>103.5</v>
      </c>
      <c r="G96" s="109" t="s">
        <v>155</v>
      </c>
      <c r="H96" s="154"/>
      <c r="I96" s="181"/>
      <c r="J96" s="405"/>
      <c r="K96" s="154"/>
      <c r="L96" s="154"/>
      <c r="M96" s="154"/>
      <c r="N96" s="154"/>
      <c r="O96" s="154"/>
      <c r="P96" s="154"/>
      <c r="Q96" s="154"/>
      <c r="R96" s="154"/>
      <c r="S96" s="154"/>
      <c r="T96" s="181"/>
      <c r="U96" s="181"/>
      <c r="V96" s="181"/>
      <c r="W96" s="181"/>
      <c r="X96" s="181"/>
    </row>
    <row r="97" spans="1:24" s="180" customFormat="1" x14ac:dyDescent="0.2">
      <c r="A97" s="181" t="str">
        <f>F_Inputs!B173</f>
        <v>BB3905JN_PR24</v>
      </c>
      <c r="B97" s="181"/>
      <c r="C97" s="181"/>
      <c r="D97" s="181"/>
      <c r="E97" s="154" t="s">
        <v>588</v>
      </c>
      <c r="F97" s="267">
        <f>F_Inputs!F173</f>
        <v>103.5</v>
      </c>
      <c r="G97" s="109" t="s">
        <v>155</v>
      </c>
      <c r="H97" s="154"/>
      <c r="I97" s="181"/>
      <c r="J97" s="405"/>
      <c r="K97" s="154"/>
      <c r="L97" s="154"/>
      <c r="M97" s="154"/>
      <c r="N97" s="154"/>
      <c r="O97" s="154"/>
      <c r="P97" s="154"/>
      <c r="Q97" s="154"/>
      <c r="R97" s="154"/>
      <c r="S97" s="154"/>
      <c r="T97" s="181"/>
      <c r="U97" s="181"/>
      <c r="V97" s="181"/>
      <c r="W97" s="181"/>
      <c r="X97" s="181"/>
    </row>
    <row r="98" spans="1:24" s="180" customFormat="1" x14ac:dyDescent="0.2">
      <c r="A98" s="181" t="str">
        <f>F_Inputs!B174</f>
        <v>BB3905JL_PR24</v>
      </c>
      <c r="B98" s="181"/>
      <c r="C98" s="181"/>
      <c r="D98" s="181"/>
      <c r="E98" s="154" t="s">
        <v>589</v>
      </c>
      <c r="F98" s="267">
        <f>F_Inputs!F174</f>
        <v>103.5</v>
      </c>
      <c r="G98" s="109" t="s">
        <v>155</v>
      </c>
      <c r="H98" s="154"/>
      <c r="I98" s="181"/>
      <c r="J98" s="405"/>
      <c r="K98" s="154"/>
      <c r="L98" s="154"/>
      <c r="M98" s="154"/>
      <c r="N98" s="154"/>
      <c r="O98" s="154"/>
      <c r="P98" s="154"/>
      <c r="Q98" s="154"/>
      <c r="R98" s="154"/>
      <c r="S98" s="154"/>
      <c r="T98" s="181"/>
      <c r="U98" s="181"/>
      <c r="V98" s="181"/>
      <c r="W98" s="181"/>
      <c r="X98" s="181"/>
    </row>
    <row r="99" spans="1:24" s="180" customFormat="1" x14ac:dyDescent="0.2">
      <c r="A99" s="181" t="str">
        <f>F_Inputs!B175</f>
        <v>BB3905AT_PR24</v>
      </c>
      <c r="B99" s="181"/>
      <c r="C99" s="181"/>
      <c r="D99" s="181"/>
      <c r="E99" s="154" t="s">
        <v>590</v>
      </c>
      <c r="F99" s="267">
        <f>F_Inputs!F175</f>
        <v>104</v>
      </c>
      <c r="G99" s="109" t="s">
        <v>155</v>
      </c>
      <c r="H99" s="154"/>
      <c r="I99" s="181"/>
      <c r="J99" s="405"/>
      <c r="K99" s="154"/>
      <c r="L99" s="154"/>
      <c r="M99" s="154"/>
      <c r="N99" s="154"/>
      <c r="O99" s="154"/>
      <c r="P99" s="154"/>
      <c r="Q99" s="154"/>
      <c r="R99" s="154"/>
      <c r="S99" s="154"/>
      <c r="T99" s="181"/>
      <c r="U99" s="181"/>
      <c r="V99" s="181"/>
      <c r="W99" s="181"/>
      <c r="X99" s="181"/>
    </row>
    <row r="100" spans="1:24" s="180" customFormat="1" x14ac:dyDescent="0.2">
      <c r="A100" s="181" t="str">
        <f>F_Inputs!B176</f>
        <v>BB3905SR_PR24</v>
      </c>
      <c r="B100" s="181"/>
      <c r="C100" s="181"/>
      <c r="D100" s="181"/>
      <c r="E100" s="154" t="s">
        <v>591</v>
      </c>
      <c r="F100" s="267">
        <f>F_Inputs!F176</f>
        <v>104.3</v>
      </c>
      <c r="G100" s="109" t="s">
        <v>155</v>
      </c>
      <c r="H100" s="154"/>
      <c r="I100" s="181"/>
      <c r="J100" s="405"/>
      <c r="K100" s="154"/>
      <c r="L100" s="154"/>
      <c r="M100" s="154"/>
      <c r="N100" s="154"/>
      <c r="O100" s="154"/>
      <c r="P100" s="154"/>
      <c r="Q100" s="154"/>
      <c r="R100" s="154"/>
      <c r="S100" s="154"/>
      <c r="T100" s="181"/>
      <c r="U100" s="181"/>
      <c r="V100" s="181"/>
      <c r="W100" s="181"/>
      <c r="X100" s="181"/>
    </row>
    <row r="101" spans="1:24" s="180" customFormat="1" x14ac:dyDescent="0.2">
      <c r="A101" s="181" t="str">
        <f>F_Inputs!B177</f>
        <v>BB3905OR_PR24</v>
      </c>
      <c r="B101" s="181"/>
      <c r="C101" s="181"/>
      <c r="D101" s="181"/>
      <c r="E101" s="154" t="s">
        <v>592</v>
      </c>
      <c r="F101" s="267">
        <f>F_Inputs!F177</f>
        <v>104.4</v>
      </c>
      <c r="G101" s="109" t="s">
        <v>155</v>
      </c>
      <c r="H101" s="154"/>
      <c r="I101" s="181"/>
      <c r="J101" s="405"/>
      <c r="K101" s="154"/>
      <c r="L101" s="154"/>
      <c r="M101" s="154"/>
      <c r="N101" s="154"/>
      <c r="O101" s="154"/>
      <c r="P101" s="154"/>
      <c r="Q101" s="154"/>
      <c r="R101" s="154"/>
      <c r="S101" s="154"/>
      <c r="T101" s="181"/>
      <c r="U101" s="181"/>
      <c r="V101" s="181"/>
      <c r="W101" s="181"/>
      <c r="X101" s="181"/>
    </row>
    <row r="102" spans="1:24" s="180" customFormat="1" x14ac:dyDescent="0.2">
      <c r="A102" s="181" t="str">
        <f>F_Inputs!B178</f>
        <v>BB3905NR_PR24</v>
      </c>
      <c r="B102" s="181"/>
      <c r="C102" s="181"/>
      <c r="D102" s="181"/>
      <c r="E102" s="154" t="s">
        <v>593</v>
      </c>
      <c r="F102" s="267">
        <f>F_Inputs!F178</f>
        <v>104.7</v>
      </c>
      <c r="G102" s="109" t="s">
        <v>155</v>
      </c>
      <c r="H102" s="154"/>
      <c r="I102" s="181"/>
      <c r="J102" s="405"/>
      <c r="K102" s="154"/>
      <c r="L102" s="154"/>
      <c r="M102" s="154"/>
      <c r="N102" s="154"/>
      <c r="O102" s="154"/>
      <c r="P102" s="154"/>
      <c r="Q102" s="154"/>
      <c r="R102" s="154"/>
      <c r="S102" s="154"/>
      <c r="T102" s="181"/>
      <c r="U102" s="181"/>
      <c r="V102" s="181"/>
      <c r="W102" s="181"/>
      <c r="X102" s="181"/>
    </row>
    <row r="103" spans="1:24" s="180" customFormat="1" x14ac:dyDescent="0.2">
      <c r="A103" s="181" t="str">
        <f>F_Inputs!B179</f>
        <v>BB3905DR_PR24</v>
      </c>
      <c r="B103" s="181"/>
      <c r="C103" s="181"/>
      <c r="D103" s="181"/>
      <c r="E103" s="154" t="s">
        <v>594</v>
      </c>
      <c r="F103" s="267">
        <f>F_Inputs!F179</f>
        <v>105</v>
      </c>
      <c r="G103" s="109" t="s">
        <v>155</v>
      </c>
      <c r="H103" s="154"/>
      <c r="I103" s="181"/>
      <c r="J103" s="405"/>
      <c r="K103" s="154"/>
      <c r="L103" s="154"/>
      <c r="M103" s="154"/>
      <c r="N103" s="154"/>
      <c r="O103" s="154"/>
      <c r="P103" s="154"/>
      <c r="Q103" s="154"/>
      <c r="R103" s="154"/>
      <c r="S103" s="154"/>
      <c r="T103" s="181"/>
      <c r="U103" s="181"/>
      <c r="V103" s="181"/>
      <c r="W103" s="181"/>
      <c r="X103" s="181"/>
    </row>
    <row r="104" spans="1:24" s="180" customFormat="1" x14ac:dyDescent="0.2">
      <c r="A104" s="181" t="str">
        <f>F_Inputs!B180</f>
        <v>BB3905JY_PR24</v>
      </c>
      <c r="B104" s="181"/>
      <c r="C104" s="181"/>
      <c r="D104" s="181"/>
      <c r="E104" s="154" t="s">
        <v>595</v>
      </c>
      <c r="F104" s="267">
        <f>F_Inputs!F180</f>
        <v>104.5</v>
      </c>
      <c r="G104" s="109" t="s">
        <v>155</v>
      </c>
      <c r="H104" s="154"/>
      <c r="I104" s="181"/>
      <c r="J104" s="405"/>
      <c r="K104" s="154"/>
      <c r="L104" s="154"/>
      <c r="M104" s="154"/>
      <c r="N104" s="154"/>
      <c r="O104" s="154"/>
      <c r="P104" s="154"/>
      <c r="Q104" s="154"/>
      <c r="R104" s="154"/>
      <c r="S104" s="154"/>
      <c r="T104" s="181"/>
      <c r="U104" s="181"/>
      <c r="V104" s="181"/>
      <c r="W104" s="181"/>
      <c r="X104" s="181"/>
    </row>
    <row r="105" spans="1:24" s="180" customFormat="1" x14ac:dyDescent="0.2">
      <c r="A105" s="181" t="str">
        <f>F_Inputs!B181</f>
        <v>BB3905FY_PR24</v>
      </c>
      <c r="B105" s="181"/>
      <c r="C105" s="181"/>
      <c r="D105" s="181"/>
      <c r="E105" s="154" t="s">
        <v>596</v>
      </c>
      <c r="F105" s="267">
        <f>F_Inputs!F181</f>
        <v>104.9</v>
      </c>
      <c r="G105" s="109" t="s">
        <v>155</v>
      </c>
      <c r="H105" s="154"/>
      <c r="I105" s="181"/>
      <c r="J105" s="405"/>
      <c r="K105" s="154"/>
      <c r="L105" s="154"/>
      <c r="M105" s="154"/>
      <c r="N105" s="154"/>
      <c r="O105" s="154"/>
      <c r="P105" s="154"/>
      <c r="Q105" s="154"/>
      <c r="R105" s="154"/>
      <c r="S105" s="154"/>
      <c r="T105" s="181"/>
      <c r="U105" s="181"/>
      <c r="V105" s="181"/>
      <c r="W105" s="181"/>
      <c r="X105" s="181"/>
    </row>
    <row r="106" spans="1:24" s="180" customFormat="1" x14ac:dyDescent="0.2">
      <c r="A106" s="181" t="str">
        <f>F_Inputs!B182</f>
        <v>BB3905MH_PR24</v>
      </c>
      <c r="B106" s="181"/>
      <c r="C106" s="181"/>
      <c r="D106" s="181"/>
      <c r="E106" s="154" t="s">
        <v>597</v>
      </c>
      <c r="F106" s="267">
        <f>F_Inputs!F182</f>
        <v>105.1</v>
      </c>
      <c r="G106" s="109" t="s">
        <v>155</v>
      </c>
      <c r="H106" s="154"/>
      <c r="I106" s="181"/>
      <c r="J106" s="405"/>
      <c r="K106" s="154"/>
      <c r="L106" s="154"/>
      <c r="M106" s="154"/>
      <c r="N106" s="154"/>
      <c r="O106" s="154"/>
      <c r="P106" s="154"/>
      <c r="Q106" s="154"/>
      <c r="R106" s="154"/>
      <c r="S106" s="154"/>
      <c r="T106" s="181"/>
      <c r="U106" s="181"/>
      <c r="V106" s="181"/>
      <c r="W106" s="181"/>
      <c r="X106" s="181"/>
    </row>
    <row r="107" spans="1:24" s="180" customFormat="1" x14ac:dyDescent="0.2">
      <c r="A107" s="181"/>
      <c r="B107" s="181"/>
      <c r="C107" s="181"/>
      <c r="D107" s="181"/>
      <c r="E107" s="154" t="s">
        <v>598</v>
      </c>
      <c r="F107" s="271">
        <f>AVERAGE(F95:F106)</f>
        <v>104.21666666666665</v>
      </c>
      <c r="G107" s="109" t="s">
        <v>155</v>
      </c>
      <c r="H107" s="154"/>
      <c r="I107" s="181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81"/>
      <c r="U107" s="181"/>
      <c r="V107" s="181"/>
      <c r="W107" s="181"/>
      <c r="X107" s="181"/>
    </row>
    <row r="108" spans="1:24" s="180" customFormat="1" x14ac:dyDescent="0.2">
      <c r="A108" s="181"/>
      <c r="B108" s="181"/>
      <c r="C108" s="181"/>
      <c r="D108" s="181"/>
      <c r="E108" s="154"/>
      <c r="F108" s="271"/>
      <c r="G108" s="109"/>
      <c r="H108" s="154"/>
      <c r="I108" s="181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81"/>
      <c r="U108" s="181"/>
      <c r="V108" s="181"/>
      <c r="W108" s="181"/>
      <c r="X108" s="181"/>
    </row>
    <row r="109" spans="1:24" s="180" customFormat="1" x14ac:dyDescent="0.2">
      <c r="A109" s="181"/>
      <c r="B109" s="181"/>
      <c r="C109" s="181"/>
      <c r="D109" s="181"/>
      <c r="E109" s="154" t="s">
        <v>599</v>
      </c>
      <c r="F109" s="445">
        <f>AVERAGE(F_Inputs!K7:K18)</f>
        <v>123.04166666666664</v>
      </c>
      <c r="G109" s="109" t="s">
        <v>155</v>
      </c>
      <c r="H109" s="154"/>
      <c r="I109" s="181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81"/>
      <c r="U109" s="181"/>
      <c r="V109" s="181"/>
      <c r="W109" s="181"/>
      <c r="X109" s="181"/>
    </row>
    <row r="110" spans="1:24" s="180" customFormat="1" x14ac:dyDescent="0.2">
      <c r="A110" s="181"/>
      <c r="B110" s="181"/>
      <c r="C110" s="181"/>
      <c r="D110" s="181"/>
      <c r="E110" s="154"/>
      <c r="F110" s="154"/>
      <c r="G110" s="154"/>
      <c r="H110" s="154"/>
      <c r="I110" s="181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81"/>
      <c r="U110" s="181"/>
      <c r="V110" s="181"/>
      <c r="W110" s="181"/>
      <c r="X110" s="181"/>
    </row>
    <row r="111" spans="1:24" s="180" customFormat="1" x14ac:dyDescent="0.2">
      <c r="A111" s="181"/>
      <c r="B111" s="185" t="s">
        <v>600</v>
      </c>
      <c r="C111" s="181"/>
      <c r="D111" s="181"/>
      <c r="E111" s="154"/>
      <c r="F111" s="154"/>
      <c r="G111" s="154"/>
      <c r="H111" s="154"/>
      <c r="I111" s="181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81"/>
      <c r="U111" s="181"/>
      <c r="V111" s="181"/>
      <c r="W111" s="181"/>
      <c r="X111" s="181"/>
    </row>
    <row r="112" spans="1:24" s="180" customFormat="1" x14ac:dyDescent="0.2">
      <c r="A112" s="181"/>
      <c r="B112" s="181"/>
      <c r="C112" s="181"/>
      <c r="D112" s="181"/>
      <c r="E112" s="154"/>
      <c r="F112" s="154"/>
      <c r="G112" s="154"/>
      <c r="H112" s="154"/>
      <c r="I112" s="181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81"/>
      <c r="U112" s="181"/>
      <c r="V112" s="181"/>
      <c r="W112" s="181"/>
      <c r="X112" s="181"/>
    </row>
    <row r="113" spans="1:25" s="180" customFormat="1" x14ac:dyDescent="0.2">
      <c r="A113" s="181"/>
      <c r="B113" s="181"/>
      <c r="C113" s="181"/>
      <c r="D113" s="186" t="s">
        <v>164</v>
      </c>
      <c r="E113" s="154"/>
      <c r="F113" s="154"/>
      <c r="G113" s="154"/>
      <c r="H113" s="154"/>
      <c r="I113" s="181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81"/>
      <c r="U113" s="181"/>
      <c r="V113" s="181"/>
      <c r="W113" s="181"/>
      <c r="X113" s="181"/>
    </row>
    <row r="114" spans="1:25" s="180" customFormat="1" x14ac:dyDescent="0.2">
      <c r="A114" s="455" t="str">
        <f>F_Inputs!B27</f>
        <v>C_PR24FM_RR9_046WR_NOM_PR24</v>
      </c>
      <c r="B114" s="181"/>
      <c r="C114" s="181"/>
      <c r="D114" s="186"/>
      <c r="E114" s="181" t="s">
        <v>601</v>
      </c>
      <c r="F114" s="181"/>
      <c r="G114" s="181" t="s">
        <v>602</v>
      </c>
      <c r="H114" s="181"/>
      <c r="I114" s="181"/>
      <c r="J114" s="153"/>
      <c r="K114" s="153"/>
      <c r="L114" s="153"/>
      <c r="M114" s="153"/>
      <c r="N114" s="239"/>
      <c r="O114" s="153"/>
      <c r="P114" s="153"/>
      <c r="Q114" s="153"/>
      <c r="R114" s="153"/>
      <c r="S114" s="261">
        <f>F_Inputs!M27</f>
        <v>0</v>
      </c>
      <c r="T114" s="153"/>
      <c r="U114" s="153"/>
      <c r="V114" s="153"/>
      <c r="W114" s="153"/>
      <c r="X114" s="153"/>
      <c r="Y114" s="405"/>
    </row>
    <row r="115" spans="1:25" s="87" customFormat="1" x14ac:dyDescent="0.2">
      <c r="A115" s="395" t="str">
        <f>F_Inputs!B29</f>
        <v>C_PR24FM_RR10_013WR_PR24</v>
      </c>
      <c r="D115" s="191"/>
      <c r="E115" s="95" t="s">
        <v>338</v>
      </c>
      <c r="F115" s="95"/>
      <c r="G115" s="95" t="s">
        <v>584</v>
      </c>
      <c r="H115" s="95"/>
      <c r="J115" s="192"/>
      <c r="K115" s="192"/>
      <c r="L115" s="192"/>
      <c r="M115" s="192"/>
      <c r="N115" s="192"/>
      <c r="O115" s="153"/>
      <c r="P115" s="153"/>
      <c r="Q115" s="153"/>
      <c r="R115" s="153"/>
      <c r="S115" s="153"/>
      <c r="T115" s="189">
        <f>F_Inputs!N29 * 100</f>
        <v>0</v>
      </c>
      <c r="U115" s="189">
        <f>F_Inputs!O29 * 100</f>
        <v>0</v>
      </c>
      <c r="V115" s="189">
        <f>F_Inputs!P29 * 100</f>
        <v>0</v>
      </c>
      <c r="W115" s="189">
        <f>F_Inputs!Q29 * 100</f>
        <v>0</v>
      </c>
      <c r="X115" s="189">
        <f>F_Inputs!R29 * 100</f>
        <v>0</v>
      </c>
      <c r="Y115" s="405"/>
    </row>
    <row r="116" spans="1:25" s="180" customFormat="1" x14ac:dyDescent="0.2">
      <c r="A116" s="257"/>
      <c r="B116" s="181"/>
      <c r="C116" s="181"/>
      <c r="D116" s="186"/>
      <c r="E116" s="154"/>
      <c r="F116" s="154"/>
      <c r="G116" s="154"/>
      <c r="H116" s="154"/>
      <c r="I116" s="181"/>
      <c r="J116" s="154"/>
      <c r="K116" s="154"/>
      <c r="L116" s="154"/>
      <c r="M116" s="154"/>
      <c r="N116" s="154"/>
      <c r="O116" s="238"/>
      <c r="P116" s="238"/>
      <c r="Q116" s="238"/>
      <c r="R116" s="238"/>
      <c r="S116" s="238"/>
      <c r="T116" s="238"/>
      <c r="U116" s="238"/>
      <c r="V116" s="181"/>
      <c r="W116" s="181"/>
      <c r="X116" s="181"/>
    </row>
    <row r="117" spans="1:25" s="180" customFormat="1" x14ac:dyDescent="0.2">
      <c r="A117" s="257"/>
      <c r="B117" s="181"/>
      <c r="C117" s="181"/>
      <c r="D117" s="186" t="s">
        <v>168</v>
      </c>
      <c r="E117" s="181"/>
      <c r="F117" s="181"/>
      <c r="G117" s="181"/>
      <c r="H117" s="181"/>
      <c r="I117" s="181"/>
      <c r="J117" s="181"/>
      <c r="K117" s="181"/>
      <c r="L117" s="181"/>
      <c r="M117" s="181"/>
      <c r="N117" s="154"/>
      <c r="O117" s="238"/>
      <c r="P117" s="238"/>
      <c r="Q117" s="238"/>
      <c r="R117" s="238"/>
      <c r="S117" s="238"/>
      <c r="T117" s="238"/>
      <c r="U117" s="238"/>
      <c r="V117" s="181"/>
      <c r="W117" s="181"/>
      <c r="X117" s="181"/>
    </row>
    <row r="118" spans="1:25" s="180" customFormat="1" x14ac:dyDescent="0.2">
      <c r="A118" s="319" t="str">
        <f>F_Inputs!B31</f>
        <v>C_PR24FM_RR9_046WN_NOM_PR24</v>
      </c>
      <c r="B118" s="181"/>
      <c r="C118" s="181"/>
      <c r="D118" s="186"/>
      <c r="E118" s="181" t="s">
        <v>603</v>
      </c>
      <c r="F118" s="181"/>
      <c r="G118" s="181" t="s">
        <v>602</v>
      </c>
      <c r="H118" s="181"/>
      <c r="I118" s="181"/>
      <c r="J118" s="153"/>
      <c r="K118" s="153"/>
      <c r="L118" s="153"/>
      <c r="M118" s="153"/>
      <c r="N118" s="239"/>
      <c r="O118" s="239"/>
      <c r="P118" s="239"/>
      <c r="Q118" s="239"/>
      <c r="R118" s="239"/>
      <c r="S118" s="261">
        <f>F_Inputs!M31</f>
        <v>0</v>
      </c>
      <c r="T118" s="239"/>
      <c r="U118" s="239"/>
      <c r="V118" s="153"/>
      <c r="W118" s="153"/>
      <c r="X118" s="153"/>
      <c r="Y118" s="405"/>
    </row>
    <row r="119" spans="1:25" s="87" customFormat="1" x14ac:dyDescent="0.2">
      <c r="A119" s="395" t="str">
        <f>F_Inputs!B33</f>
        <v>C_PR24FM_RR10_013WN_PR24</v>
      </c>
      <c r="D119" s="191"/>
      <c r="E119" s="95" t="s">
        <v>342</v>
      </c>
      <c r="F119" s="95"/>
      <c r="G119" s="95" t="s">
        <v>584</v>
      </c>
      <c r="H119" s="95"/>
      <c r="J119" s="192"/>
      <c r="K119" s="192"/>
      <c r="L119" s="192"/>
      <c r="M119" s="192"/>
      <c r="N119" s="192"/>
      <c r="O119" s="153"/>
      <c r="P119" s="153"/>
      <c r="Q119" s="153"/>
      <c r="R119" s="153"/>
      <c r="S119" s="153"/>
      <c r="T119" s="189">
        <f>F_Inputs!N33 * 100</f>
        <v>0</v>
      </c>
      <c r="U119" s="189">
        <f>F_Inputs!O33 * 100</f>
        <v>0</v>
      </c>
      <c r="V119" s="189">
        <f>F_Inputs!P33 * 100</f>
        <v>0</v>
      </c>
      <c r="W119" s="189">
        <f>F_Inputs!Q33 * 100</f>
        <v>0</v>
      </c>
      <c r="X119" s="189">
        <f>F_Inputs!R33 * 100</f>
        <v>0</v>
      </c>
      <c r="Y119" s="405"/>
    </row>
    <row r="120" spans="1:25" s="180" customFormat="1" x14ac:dyDescent="0.2">
      <c r="A120" s="257"/>
      <c r="B120" s="181"/>
      <c r="C120" s="181"/>
      <c r="D120" s="186"/>
      <c r="E120" s="181"/>
      <c r="F120" s="181"/>
      <c r="G120" s="181"/>
      <c r="H120" s="181"/>
      <c r="I120" s="181"/>
      <c r="J120" s="181"/>
      <c r="K120" s="181"/>
      <c r="L120" s="181"/>
      <c r="M120" s="181"/>
      <c r="N120" s="154"/>
      <c r="O120" s="238"/>
      <c r="P120" s="238"/>
      <c r="Q120" s="238"/>
      <c r="R120" s="238"/>
      <c r="S120" s="238"/>
      <c r="T120" s="238"/>
      <c r="U120" s="238"/>
      <c r="V120" s="181"/>
      <c r="W120" s="181"/>
      <c r="X120" s="181"/>
    </row>
    <row r="121" spans="1:25" s="180" customFormat="1" x14ac:dyDescent="0.2">
      <c r="A121" s="257"/>
      <c r="B121" s="181"/>
      <c r="C121" s="181"/>
      <c r="D121" s="186" t="s">
        <v>171</v>
      </c>
      <c r="E121" s="181"/>
      <c r="F121" s="181"/>
      <c r="G121" s="181"/>
      <c r="H121" s="181"/>
      <c r="I121" s="181"/>
      <c r="J121" s="181"/>
      <c r="K121" s="181"/>
      <c r="L121" s="181"/>
      <c r="M121" s="181"/>
      <c r="N121" s="154"/>
      <c r="O121" s="238"/>
      <c r="P121" s="238"/>
      <c r="Q121" s="238"/>
      <c r="R121" s="238"/>
      <c r="S121" s="238"/>
      <c r="T121" s="238"/>
      <c r="U121" s="238"/>
      <c r="V121" s="181"/>
      <c r="W121" s="181"/>
      <c r="X121" s="181"/>
    </row>
    <row r="122" spans="1:25" s="180" customFormat="1" x14ac:dyDescent="0.2">
      <c r="A122" s="319" t="str">
        <f>F_Inputs!B35</f>
        <v>C_PR24FM_RR9_046WWN_NOM_PR24</v>
      </c>
      <c r="B122" s="181"/>
      <c r="C122" s="181"/>
      <c r="D122" s="186"/>
      <c r="E122" s="181" t="s">
        <v>604</v>
      </c>
      <c r="F122" s="181"/>
      <c r="G122" s="181" t="s">
        <v>602</v>
      </c>
      <c r="H122" s="181"/>
      <c r="I122" s="181"/>
      <c r="J122" s="153"/>
      <c r="K122" s="153"/>
      <c r="L122" s="153"/>
      <c r="M122" s="153"/>
      <c r="N122" s="239"/>
      <c r="O122" s="239"/>
      <c r="P122" s="239"/>
      <c r="Q122" s="239"/>
      <c r="R122" s="239"/>
      <c r="S122" s="261">
        <f>F_Inputs!M35</f>
        <v>0</v>
      </c>
      <c r="T122" s="239"/>
      <c r="U122" s="239"/>
      <c r="V122" s="153"/>
      <c r="W122" s="153"/>
      <c r="X122" s="153"/>
      <c r="Y122" s="405"/>
    </row>
    <row r="123" spans="1:25" s="87" customFormat="1" x14ac:dyDescent="0.2">
      <c r="A123" s="395" t="str">
        <f>F_Inputs!B37</f>
        <v>C_PR24FM_RR10_013WWN_PR24</v>
      </c>
      <c r="D123" s="191"/>
      <c r="E123" s="95" t="s">
        <v>346</v>
      </c>
      <c r="F123" s="95"/>
      <c r="G123" s="95" t="s">
        <v>584</v>
      </c>
      <c r="H123" s="95"/>
      <c r="J123" s="192"/>
      <c r="K123" s="192"/>
      <c r="L123" s="192"/>
      <c r="M123" s="192"/>
      <c r="N123" s="192"/>
      <c r="O123" s="153"/>
      <c r="P123" s="153"/>
      <c r="Q123" s="153"/>
      <c r="R123" s="153"/>
      <c r="S123" s="153"/>
      <c r="T123" s="189">
        <f>F_Inputs!N37 * 100</f>
        <v>0</v>
      </c>
      <c r="U123" s="189">
        <f>F_Inputs!O37 * 100</f>
        <v>0</v>
      </c>
      <c r="V123" s="189">
        <f>F_Inputs!P37 * 100</f>
        <v>0</v>
      </c>
      <c r="W123" s="189">
        <f>F_Inputs!Q37 * 100</f>
        <v>0</v>
      </c>
      <c r="X123" s="189">
        <f>F_Inputs!R37 * 100</f>
        <v>0</v>
      </c>
      <c r="Y123" s="405"/>
    </row>
    <row r="124" spans="1:25" s="180" customFormat="1" x14ac:dyDescent="0.2">
      <c r="A124" s="257"/>
      <c r="B124" s="181"/>
      <c r="C124" s="181"/>
      <c r="D124" s="186"/>
      <c r="E124" s="181"/>
      <c r="F124" s="181"/>
      <c r="G124" s="181"/>
      <c r="H124" s="181"/>
      <c r="I124" s="181"/>
      <c r="J124" s="181"/>
      <c r="K124" s="181"/>
      <c r="L124" s="181"/>
      <c r="M124" s="181"/>
      <c r="N124" s="154"/>
      <c r="O124" s="238"/>
      <c r="P124" s="238"/>
      <c r="Q124" s="238"/>
      <c r="R124" s="238"/>
      <c r="S124" s="238"/>
      <c r="T124" s="238"/>
      <c r="U124" s="238"/>
      <c r="V124" s="181"/>
      <c r="W124" s="181"/>
      <c r="X124" s="181"/>
    </row>
    <row r="125" spans="1:25" s="180" customFormat="1" x14ac:dyDescent="0.2">
      <c r="A125" s="257"/>
      <c r="B125" s="181"/>
      <c r="C125" s="181"/>
      <c r="D125" s="186" t="s">
        <v>177</v>
      </c>
      <c r="E125" s="181"/>
      <c r="F125" s="181"/>
      <c r="G125" s="181"/>
      <c r="H125" s="181"/>
      <c r="I125" s="181"/>
      <c r="J125" s="181"/>
      <c r="K125" s="181"/>
      <c r="L125" s="181"/>
      <c r="M125" s="181"/>
      <c r="N125" s="154"/>
      <c r="O125" s="238"/>
      <c r="P125" s="238"/>
      <c r="Q125" s="238"/>
      <c r="R125" s="238"/>
      <c r="S125" s="238"/>
      <c r="T125" s="238"/>
      <c r="U125" s="238"/>
      <c r="V125" s="181"/>
      <c r="W125" s="181"/>
      <c r="X125" s="181"/>
    </row>
    <row r="126" spans="1:25" s="180" customFormat="1" x14ac:dyDescent="0.2">
      <c r="A126" s="257" t="str">
        <f>F_Inputs!B41</f>
        <v>C_PR24FM_PR24OT03_UR_PUBLISHED</v>
      </c>
      <c r="B126" s="181"/>
      <c r="C126" s="181"/>
      <c r="D126" s="186"/>
      <c r="E126" s="154" t="s">
        <v>605</v>
      </c>
      <c r="F126" s="154"/>
      <c r="G126" s="154" t="s">
        <v>606</v>
      </c>
      <c r="H126" s="154"/>
      <c r="I126" s="181"/>
      <c r="J126" s="153"/>
      <c r="K126" s="153"/>
      <c r="L126" s="153"/>
      <c r="M126" s="153"/>
      <c r="N126" s="153"/>
      <c r="O126" s="239"/>
      <c r="P126" s="239"/>
      <c r="Q126" s="239"/>
      <c r="R126" s="239"/>
      <c r="S126" s="239"/>
      <c r="T126" s="261">
        <f>F_Inputs!N41</f>
        <v>0</v>
      </c>
      <c r="U126" s="261">
        <f>F_Inputs!O41</f>
        <v>0</v>
      </c>
      <c r="V126" s="261">
        <f>F_Inputs!P41</f>
        <v>0</v>
      </c>
      <c r="W126" s="261">
        <f>F_Inputs!Q41</f>
        <v>0</v>
      </c>
      <c r="X126" s="261">
        <f>F_Inputs!R41</f>
        <v>0</v>
      </c>
      <c r="Y126" s="405"/>
    </row>
    <row r="127" spans="1:25" s="180" customFormat="1" x14ac:dyDescent="0.2">
      <c r="A127" s="257"/>
      <c r="B127" s="181"/>
      <c r="C127" s="181"/>
      <c r="D127" s="186"/>
      <c r="E127" s="181"/>
      <c r="F127" s="181"/>
      <c r="G127" s="181"/>
      <c r="H127" s="181"/>
      <c r="I127" s="181"/>
      <c r="J127" s="181"/>
      <c r="K127" s="181"/>
      <c r="L127" s="181"/>
      <c r="M127" s="181"/>
      <c r="N127" s="154"/>
      <c r="O127" s="388"/>
      <c r="P127" s="388"/>
      <c r="Q127" s="388"/>
      <c r="R127" s="388"/>
      <c r="S127" s="388"/>
      <c r="T127" s="388"/>
      <c r="U127" s="388"/>
      <c r="V127" s="181"/>
      <c r="W127" s="181"/>
      <c r="X127" s="181"/>
    </row>
    <row r="128" spans="1:25" s="180" customFormat="1" x14ac:dyDescent="0.2">
      <c r="A128" s="257"/>
      <c r="B128" s="181"/>
      <c r="C128" s="181"/>
      <c r="D128" s="186" t="s">
        <v>173</v>
      </c>
      <c r="E128" s="181"/>
      <c r="F128" s="181"/>
      <c r="G128" s="181"/>
      <c r="H128" s="181"/>
      <c r="I128" s="181"/>
      <c r="J128" s="181"/>
      <c r="K128" s="181"/>
      <c r="L128" s="181"/>
      <c r="M128" s="181"/>
      <c r="N128" s="154"/>
      <c r="O128" s="238"/>
      <c r="P128" s="238"/>
      <c r="Q128" s="238"/>
      <c r="R128" s="238"/>
      <c r="S128" s="238"/>
      <c r="T128" s="238"/>
      <c r="U128" s="238"/>
      <c r="V128" s="181"/>
      <c r="W128" s="181"/>
      <c r="X128" s="181"/>
    </row>
    <row r="129" spans="1:25" s="180" customFormat="1" x14ac:dyDescent="0.2">
      <c r="A129" s="257" t="str">
        <f>F_Inputs!B52</f>
        <v>C_PR24FM_242_PR24</v>
      </c>
      <c r="B129" s="181"/>
      <c r="C129" s="181"/>
      <c r="D129" s="186"/>
      <c r="E129" s="154" t="s">
        <v>349</v>
      </c>
      <c r="F129" s="154"/>
      <c r="G129" s="154" t="s">
        <v>607</v>
      </c>
      <c r="H129" s="154"/>
      <c r="I129" s="181"/>
      <c r="J129" s="153"/>
      <c r="K129" s="153"/>
      <c r="L129" s="153"/>
      <c r="M129" s="153"/>
      <c r="N129" s="153"/>
      <c r="O129" s="239"/>
      <c r="P129" s="239"/>
      <c r="Q129" s="239"/>
      <c r="R129" s="239"/>
      <c r="S129" s="239"/>
      <c r="T129" s="261">
        <f>F_Inputs!N52</f>
        <v>0</v>
      </c>
      <c r="U129" s="261">
        <f>F_Inputs!O52</f>
        <v>0</v>
      </c>
      <c r="V129" s="261">
        <f>F_Inputs!P52</f>
        <v>0</v>
      </c>
      <c r="W129" s="261">
        <f>F_Inputs!Q52</f>
        <v>0</v>
      </c>
      <c r="X129" s="261">
        <f>F_Inputs!R52</f>
        <v>0</v>
      </c>
      <c r="Y129" s="405"/>
    </row>
    <row r="130" spans="1:25" s="180" customFormat="1" x14ac:dyDescent="0.2">
      <c r="A130" s="296" t="str">
        <f>F_Inputs!B54</f>
        <v>C_RR7_003TOTAL_PR24</v>
      </c>
      <c r="B130" s="181"/>
      <c r="C130" s="181"/>
      <c r="D130" s="186"/>
      <c r="E130" s="154" t="s">
        <v>307</v>
      </c>
      <c r="F130" s="154"/>
      <c r="G130" s="154" t="s">
        <v>308</v>
      </c>
      <c r="H130" s="154"/>
      <c r="I130" s="181"/>
      <c r="J130" s="153"/>
      <c r="K130" s="153"/>
      <c r="L130" s="153"/>
      <c r="M130" s="153"/>
      <c r="N130" s="153"/>
      <c r="O130" s="239"/>
      <c r="P130" s="239"/>
      <c r="Q130" s="239"/>
      <c r="R130" s="239"/>
      <c r="S130" s="239"/>
      <c r="T130" s="261">
        <f>F_Inputs!N54</f>
        <v>0</v>
      </c>
      <c r="U130" s="261">
        <f>F_Inputs!O54</f>
        <v>0</v>
      </c>
      <c r="V130" s="261">
        <f>F_Inputs!P54</f>
        <v>0</v>
      </c>
      <c r="W130" s="261">
        <f>F_Inputs!Q54</f>
        <v>0</v>
      </c>
      <c r="X130" s="261">
        <f>F_Inputs!R54</f>
        <v>0</v>
      </c>
      <c r="Y130" s="405"/>
    </row>
    <row r="131" spans="1:25" s="180" customFormat="1" x14ac:dyDescent="0.2">
      <c r="A131" s="257"/>
      <c r="B131" s="181"/>
      <c r="C131" s="181"/>
      <c r="D131" s="186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1"/>
      <c r="X131" s="181"/>
    </row>
    <row r="132" spans="1:25" s="180" customFormat="1" x14ac:dyDescent="0.2">
      <c r="A132" s="257"/>
      <c r="B132" s="181"/>
      <c r="C132" s="181"/>
      <c r="D132" s="155" t="s">
        <v>175</v>
      </c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</row>
    <row r="133" spans="1:25" s="180" customFormat="1" x14ac:dyDescent="0.2">
      <c r="A133" s="296" t="str">
        <f>F_Inputs!B57</f>
        <v>C_PR24FM_266_PERCENT_PR24</v>
      </c>
      <c r="B133" s="181"/>
      <c r="D133" s="186"/>
      <c r="E133" s="181" t="s">
        <v>314</v>
      </c>
      <c r="F133" s="154"/>
      <c r="G133" s="181" t="s">
        <v>233</v>
      </c>
      <c r="H133" s="154"/>
      <c r="I133" s="181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419">
        <f>F_Inputs!N57</f>
        <v>0</v>
      </c>
      <c r="U133" s="419">
        <f>F_Inputs!O57</f>
        <v>0</v>
      </c>
      <c r="V133" s="419">
        <f>F_Inputs!P57</f>
        <v>0</v>
      </c>
      <c r="W133" s="419">
        <f>F_Inputs!Q57</f>
        <v>0</v>
      </c>
      <c r="X133" s="419">
        <f>F_Inputs!R57</f>
        <v>0</v>
      </c>
    </row>
    <row r="134" spans="1:25" s="180" customFormat="1" x14ac:dyDescent="0.2">
      <c r="A134" s="296" t="str">
        <f>F_Inputs!B58</f>
        <v>C_PR24FM_267_PERCENT_PR24</v>
      </c>
      <c r="B134" s="181"/>
      <c r="D134" s="186"/>
      <c r="E134" s="181" t="s">
        <v>316</v>
      </c>
      <c r="F134" s="154"/>
      <c r="G134" s="181" t="s">
        <v>233</v>
      </c>
      <c r="H134" s="154"/>
      <c r="I134" s="181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419">
        <f>F_Inputs!N58</f>
        <v>0</v>
      </c>
      <c r="U134" s="419">
        <f>F_Inputs!O58</f>
        <v>0</v>
      </c>
      <c r="V134" s="419">
        <f>F_Inputs!P58</f>
        <v>0</v>
      </c>
      <c r="W134" s="419">
        <f>F_Inputs!Q58</f>
        <v>0</v>
      </c>
      <c r="X134" s="419">
        <f>F_Inputs!R58</f>
        <v>0</v>
      </c>
    </row>
    <row r="135" spans="1:25" x14ac:dyDescent="0.2"/>
    <row r="136" spans="1:25" s="180" customFormat="1" x14ac:dyDescent="0.2">
      <c r="A136" s="257" t="str">
        <f>F_Inputs!B59</f>
        <v>C_PR24CA18_TB1_NHHCN</v>
      </c>
      <c r="B136" s="181"/>
      <c r="D136" s="186"/>
      <c r="E136" s="257" t="str">
        <f>F_Inputs!C59</f>
        <v>Tariff Band 1 - Number of customers - Water &lt; 50Ml - nominal</v>
      </c>
      <c r="F136" s="154"/>
      <c r="G136" s="181" t="str">
        <f>F_Inputs!D59</f>
        <v>000s</v>
      </c>
      <c r="H136" s="181"/>
      <c r="I136" s="181"/>
      <c r="J136" s="153"/>
      <c r="K136" s="153"/>
      <c r="L136" s="153"/>
      <c r="M136" s="153"/>
      <c r="N136" s="153"/>
      <c r="O136" s="153"/>
      <c r="P136" s="153"/>
      <c r="Q136" s="399"/>
      <c r="R136" s="399"/>
      <c r="S136" s="399"/>
      <c r="T136" s="261">
        <f>F_Inputs!N59</f>
        <v>0</v>
      </c>
      <c r="U136" s="261">
        <f>F_Inputs!O59</f>
        <v>0</v>
      </c>
      <c r="V136" s="261">
        <f>F_Inputs!P59</f>
        <v>0</v>
      </c>
      <c r="W136" s="261">
        <f>F_Inputs!Q59</f>
        <v>0</v>
      </c>
      <c r="X136" s="261">
        <f>F_Inputs!R59</f>
        <v>0</v>
      </c>
    </row>
    <row r="137" spans="1:25" s="180" customFormat="1" x14ac:dyDescent="0.2">
      <c r="A137" s="257" t="str">
        <f>F_Inputs!B60</f>
        <v>C_PR24CA18_TB2_NHHCN</v>
      </c>
      <c r="B137" s="181"/>
      <c r="D137" s="186"/>
      <c r="E137" s="257" t="str">
        <f>F_Inputs!C60</f>
        <v>Tariff Band 2 - Number of customers - Wastewater - nominal</v>
      </c>
      <c r="F137" s="154"/>
      <c r="G137" s="181" t="str">
        <f>F_Inputs!D60</f>
        <v>000s</v>
      </c>
      <c r="H137" s="154"/>
      <c r="I137" s="181"/>
      <c r="J137" s="153"/>
      <c r="K137" s="153"/>
      <c r="L137" s="153"/>
      <c r="M137" s="153"/>
      <c r="N137" s="153"/>
      <c r="O137" s="153"/>
      <c r="P137" s="153"/>
      <c r="Q137" s="399"/>
      <c r="R137" s="399"/>
      <c r="S137" s="399"/>
      <c r="T137" s="261">
        <f>F_Inputs!N60</f>
        <v>0</v>
      </c>
      <c r="U137" s="261">
        <f>F_Inputs!O60</f>
        <v>0</v>
      </c>
      <c r="V137" s="261">
        <f>F_Inputs!P60</f>
        <v>0</v>
      </c>
      <c r="W137" s="261">
        <f>F_Inputs!Q60</f>
        <v>0</v>
      </c>
      <c r="X137" s="261">
        <f>F_Inputs!R60</f>
        <v>0</v>
      </c>
    </row>
    <row r="138" spans="1:25" s="180" customFormat="1" x14ac:dyDescent="0.2">
      <c r="A138" s="257"/>
      <c r="C138" s="181"/>
      <c r="D138" s="186"/>
      <c r="E138" s="181"/>
      <c r="F138" s="154"/>
      <c r="G138" s="181"/>
      <c r="H138" s="154"/>
      <c r="I138" s="181"/>
      <c r="J138" s="154"/>
      <c r="K138" s="154"/>
      <c r="L138" s="154"/>
      <c r="M138" s="154"/>
      <c r="N138" s="154"/>
      <c r="O138" s="154"/>
      <c r="P138" s="154"/>
      <c r="Q138" s="443"/>
      <c r="R138" s="443"/>
      <c r="S138" s="443"/>
      <c r="T138" s="443"/>
      <c r="U138" s="443"/>
      <c r="V138" s="154"/>
      <c r="W138" s="154"/>
      <c r="X138" s="154"/>
    </row>
    <row r="139" spans="1:25" s="180" customFormat="1" x14ac:dyDescent="0.2">
      <c r="A139" s="257" t="str">
        <f>F_Inputs!B55</f>
        <v>C_PR24FM_285_PR24</v>
      </c>
      <c r="C139" s="181"/>
      <c r="D139" s="186"/>
      <c r="E139" s="257" t="str">
        <f>F_Inputs!C55</f>
        <v>Price Limits Business - Tariff Band - Retail cost per customer inc Margin, DPC &amp; business retail revenue adjustment - nominal (1)</v>
      </c>
      <c r="F139" s="154"/>
      <c r="G139" s="181" t="str">
        <f>F_Inputs!D55</f>
        <v>£ / customer</v>
      </c>
      <c r="H139" s="154"/>
      <c r="I139" s="181"/>
      <c r="J139" s="153"/>
      <c r="K139" s="153"/>
      <c r="L139" s="153"/>
      <c r="M139" s="153"/>
      <c r="N139" s="153"/>
      <c r="O139" s="153"/>
      <c r="P139" s="153"/>
      <c r="Q139" s="399"/>
      <c r="R139" s="399"/>
      <c r="S139" s="399"/>
      <c r="T139" s="261">
        <f>F_Inputs!N55</f>
        <v>0</v>
      </c>
      <c r="U139" s="261">
        <f>F_Inputs!O55</f>
        <v>0</v>
      </c>
      <c r="V139" s="261">
        <f>F_Inputs!P55</f>
        <v>0</v>
      </c>
      <c r="W139" s="261">
        <f>F_Inputs!Q55</f>
        <v>0</v>
      </c>
      <c r="X139" s="261">
        <f>F_Inputs!R55</f>
        <v>0</v>
      </c>
    </row>
    <row r="140" spans="1:25" s="180" customFormat="1" x14ac:dyDescent="0.2">
      <c r="A140" s="257" t="str">
        <f>F_Inputs!B56</f>
        <v>C_PR24FM_286_PR24</v>
      </c>
      <c r="B140" s="181"/>
      <c r="C140" s="181"/>
      <c r="D140" s="186"/>
      <c r="E140" s="257" t="str">
        <f>F_Inputs!C56</f>
        <v>Price Limits Business - Tariff Band - Retail cost per customer inc Margin, DPC &amp; business retail revenue adjustment - nominal (2)</v>
      </c>
      <c r="F140" s="154"/>
      <c r="G140" s="181" t="str">
        <f>F_Inputs!D56</f>
        <v>£ / customer</v>
      </c>
      <c r="H140" s="181"/>
      <c r="I140" s="181"/>
      <c r="J140" s="153"/>
      <c r="K140" s="153"/>
      <c r="L140" s="153"/>
      <c r="M140" s="153"/>
      <c r="N140" s="153"/>
      <c r="O140" s="153"/>
      <c r="P140" s="153"/>
      <c r="Q140" s="399"/>
      <c r="R140" s="399"/>
      <c r="S140" s="399"/>
      <c r="T140" s="261">
        <f>F_Inputs!N56</f>
        <v>0</v>
      </c>
      <c r="U140" s="261">
        <f>F_Inputs!O56</f>
        <v>0</v>
      </c>
      <c r="V140" s="261">
        <f>F_Inputs!P56</f>
        <v>0</v>
      </c>
      <c r="W140" s="261">
        <f>F_Inputs!Q56</f>
        <v>0</v>
      </c>
      <c r="X140" s="261">
        <f>F_Inputs!R56</f>
        <v>0</v>
      </c>
    </row>
    <row r="141" spans="1:25" s="180" customFormat="1" x14ac:dyDescent="0.2">
      <c r="A141" s="257"/>
      <c r="B141" s="181"/>
      <c r="C141" s="181"/>
      <c r="D141" s="186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</row>
    <row r="142" spans="1:25" s="180" customFormat="1" x14ac:dyDescent="0.2">
      <c r="A142" s="257"/>
      <c r="B142" s="181"/>
      <c r="C142" s="181"/>
      <c r="D142" s="186" t="s">
        <v>179</v>
      </c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</row>
    <row r="143" spans="1:25" s="180" customFormat="1" x14ac:dyDescent="0.2">
      <c r="A143" s="319" t="str">
        <f>F_Inputs!B44</f>
        <v>C_PR24FM_RR9_046ADDN1_NOM_PR24</v>
      </c>
      <c r="B143" s="181"/>
      <c r="C143" s="181"/>
      <c r="D143" s="186"/>
      <c r="E143" s="181" t="s">
        <v>608</v>
      </c>
      <c r="F143" s="181"/>
      <c r="G143" s="181" t="s">
        <v>602</v>
      </c>
      <c r="H143" s="181"/>
      <c r="I143" s="181"/>
      <c r="J143" s="153"/>
      <c r="K143" s="153"/>
      <c r="L143" s="153"/>
      <c r="M143" s="153"/>
      <c r="N143" s="239"/>
      <c r="O143" s="153"/>
      <c r="P143" s="153"/>
      <c r="Q143" s="153"/>
      <c r="R143" s="153"/>
      <c r="S143" s="261">
        <f>F_Inputs!M44</f>
        <v>0</v>
      </c>
      <c r="T143" s="153"/>
      <c r="U143" s="153"/>
      <c r="V143" s="153"/>
      <c r="W143" s="153"/>
      <c r="X143" s="153"/>
      <c r="Y143" s="405"/>
    </row>
    <row r="144" spans="1:25" s="87" customFormat="1" x14ac:dyDescent="0.2">
      <c r="A144" s="395" t="str">
        <f>F_Inputs!B46</f>
        <v>C_PR24FM_RR10_013ADDN1_PR24</v>
      </c>
      <c r="D144" s="191"/>
      <c r="E144" s="95" t="s">
        <v>359</v>
      </c>
      <c r="F144" s="95"/>
      <c r="G144" s="95" t="s">
        <v>584</v>
      </c>
      <c r="H144" s="95"/>
      <c r="J144" s="192"/>
      <c r="K144" s="192"/>
      <c r="L144" s="192"/>
      <c r="M144" s="192"/>
      <c r="N144" s="192"/>
      <c r="O144" s="153"/>
      <c r="P144" s="153"/>
      <c r="Q144" s="153"/>
      <c r="R144" s="153"/>
      <c r="S144" s="153"/>
      <c r="T144" s="189">
        <f>F_Inputs!N46 * 100</f>
        <v>0</v>
      </c>
      <c r="U144" s="189">
        <f>F_Inputs!O46 * 100</f>
        <v>0</v>
      </c>
      <c r="V144" s="189">
        <f>F_Inputs!P46 * 100</f>
        <v>0</v>
      </c>
      <c r="W144" s="189">
        <f>F_Inputs!Q46 * 100</f>
        <v>0</v>
      </c>
      <c r="X144" s="189">
        <f>F_Inputs!R46 * 100</f>
        <v>0</v>
      </c>
      <c r="Y144" s="405"/>
    </row>
    <row r="145" spans="1:25" s="87" customFormat="1" x14ac:dyDescent="0.2">
      <c r="A145" s="395"/>
      <c r="D145" s="191"/>
      <c r="E145" s="95"/>
      <c r="F145" s="95"/>
      <c r="G145" s="95"/>
      <c r="H145" s="95"/>
      <c r="J145" s="95"/>
      <c r="K145" s="95"/>
      <c r="L145" s="95"/>
      <c r="M145" s="95"/>
      <c r="N145" s="95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405"/>
    </row>
    <row r="146" spans="1:25" s="87" customFormat="1" x14ac:dyDescent="0.2">
      <c r="A146" s="257"/>
      <c r="B146" s="181"/>
      <c r="C146" s="181"/>
      <c r="D146" s="186" t="s">
        <v>181</v>
      </c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  <c r="Y146" s="405"/>
    </row>
    <row r="147" spans="1:25" s="87" customFormat="1" x14ac:dyDescent="0.2">
      <c r="A147" s="319" t="str">
        <f>F_Inputs!B48</f>
        <v>C_PR24FM_RR9_046ADDN2_NOM_PR24</v>
      </c>
      <c r="B147" s="181"/>
      <c r="C147" s="181"/>
      <c r="D147" s="186"/>
      <c r="E147" s="181" t="s">
        <v>609</v>
      </c>
      <c r="F147" s="181"/>
      <c r="G147" s="181" t="s">
        <v>602</v>
      </c>
      <c r="H147" s="181"/>
      <c r="I147" s="181"/>
      <c r="J147" s="153"/>
      <c r="K147" s="153"/>
      <c r="L147" s="153"/>
      <c r="M147" s="153"/>
      <c r="N147" s="239"/>
      <c r="O147" s="153"/>
      <c r="P147" s="153"/>
      <c r="Q147" s="153"/>
      <c r="R147" s="153"/>
      <c r="S147" s="261">
        <f>F_Inputs!M48</f>
        <v>0</v>
      </c>
      <c r="T147" s="153"/>
      <c r="U147" s="153"/>
      <c r="V147" s="153"/>
      <c r="W147" s="153"/>
      <c r="X147" s="153"/>
      <c r="Y147" s="405"/>
    </row>
    <row r="148" spans="1:25" s="87" customFormat="1" x14ac:dyDescent="0.2">
      <c r="A148" s="395" t="str">
        <f>F_Inputs!B50</f>
        <v>C_PR24FM_RR10_013ADDN2_PR24</v>
      </c>
      <c r="D148" s="191"/>
      <c r="E148" s="95" t="s">
        <v>362</v>
      </c>
      <c r="F148" s="95"/>
      <c r="G148" s="95" t="s">
        <v>584</v>
      </c>
      <c r="H148" s="95"/>
      <c r="J148" s="192"/>
      <c r="K148" s="192"/>
      <c r="L148" s="192"/>
      <c r="M148" s="192"/>
      <c r="N148" s="192"/>
      <c r="O148" s="153"/>
      <c r="P148" s="153"/>
      <c r="Q148" s="153"/>
      <c r="R148" s="153"/>
      <c r="S148" s="153"/>
      <c r="T148" s="189">
        <f>F_Inputs!N50 * 100</f>
        <v>0</v>
      </c>
      <c r="U148" s="189">
        <f>F_Inputs!O50 * 100</f>
        <v>0</v>
      </c>
      <c r="V148" s="189">
        <f>F_Inputs!P50 * 100</f>
        <v>0</v>
      </c>
      <c r="W148" s="189">
        <f>F_Inputs!Q50 * 100</f>
        <v>0</v>
      </c>
      <c r="X148" s="189">
        <f>F_Inputs!R50 * 100</f>
        <v>0</v>
      </c>
      <c r="Y148" s="405"/>
    </row>
    <row r="149" spans="1:25" s="180" customFormat="1" x14ac:dyDescent="0.2">
      <c r="A149" s="181"/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</row>
    <row r="150" spans="1:25" s="401" customFormat="1" ht="13.5" x14ac:dyDescent="0.25">
      <c r="A150" s="209" t="s">
        <v>148</v>
      </c>
      <c r="B150" s="209"/>
      <c r="C150" s="209"/>
      <c r="D150" s="209"/>
      <c r="E150" s="209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</row>
    <row r="151" spans="1:25" s="180" customFormat="1" x14ac:dyDescent="0.2">
      <c r="A151" s="181"/>
      <c r="B151" s="181"/>
      <c r="C151" s="181"/>
      <c r="D151" s="181"/>
      <c r="E151" s="181"/>
      <c r="F151" s="181"/>
      <c r="G151" s="181"/>
      <c r="H151" s="414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</row>
    <row r="152" spans="1:25" s="180" customFormat="1" x14ac:dyDescent="0.2">
      <c r="A152" s="181"/>
      <c r="B152" s="181"/>
      <c r="C152" s="181"/>
      <c r="D152" s="181"/>
      <c r="E152" s="154" t="s">
        <v>610</v>
      </c>
      <c r="F152" s="415">
        <v>42095</v>
      </c>
      <c r="G152" s="154" t="s">
        <v>611</v>
      </c>
      <c r="H152" s="412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1"/>
      <c r="U152" s="181"/>
      <c r="V152" s="181"/>
      <c r="W152" s="181"/>
      <c r="X152" s="181"/>
    </row>
    <row r="153" spans="1:25" s="180" customFormat="1" x14ac:dyDescent="0.2">
      <c r="A153" s="181"/>
      <c r="B153" s="181"/>
      <c r="C153" s="181"/>
      <c r="D153" s="181"/>
      <c r="E153" s="154"/>
      <c r="F153" s="154"/>
      <c r="G153" s="154"/>
      <c r="H153" s="412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  <c r="S153" s="181"/>
      <c r="T153" s="181"/>
      <c r="U153" s="181"/>
      <c r="V153" s="181"/>
      <c r="W153" s="181"/>
      <c r="X153" s="181"/>
    </row>
    <row r="154" spans="1:25" s="180" customFormat="1" x14ac:dyDescent="0.2">
      <c r="A154" s="181"/>
      <c r="B154" s="181"/>
      <c r="C154" s="181"/>
      <c r="D154" s="181"/>
      <c r="E154" s="154" t="s">
        <v>612</v>
      </c>
      <c r="F154" s="415">
        <v>45747</v>
      </c>
      <c r="G154" s="154" t="s">
        <v>611</v>
      </c>
      <c r="H154" s="412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T154" s="181"/>
      <c r="U154" s="181"/>
      <c r="V154" s="181"/>
      <c r="W154" s="181"/>
      <c r="X154" s="181"/>
    </row>
    <row r="155" spans="1:25" s="180" customFormat="1" x14ac:dyDescent="0.2">
      <c r="A155" s="181"/>
      <c r="B155" s="181"/>
      <c r="C155" s="181"/>
      <c r="D155" s="181"/>
      <c r="E155" s="154"/>
      <c r="F155" s="154"/>
      <c r="G155" s="154"/>
      <c r="H155" s="412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T155" s="181"/>
      <c r="U155" s="181"/>
      <c r="V155" s="181"/>
      <c r="W155" s="181"/>
      <c r="X155" s="181"/>
    </row>
    <row r="156" spans="1:25" s="180" customFormat="1" x14ac:dyDescent="0.2">
      <c r="A156" s="181"/>
      <c r="B156" s="181"/>
      <c r="C156" s="181"/>
      <c r="D156" s="181"/>
      <c r="E156" s="154" t="s">
        <v>613</v>
      </c>
      <c r="F156" s="268">
        <v>45747</v>
      </c>
      <c r="G156" s="154" t="s">
        <v>611</v>
      </c>
      <c r="H156" s="412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T156" s="181"/>
      <c r="U156" s="181"/>
      <c r="V156" s="181"/>
      <c r="W156" s="181"/>
      <c r="X156" s="181"/>
    </row>
    <row r="157" spans="1:25" s="180" customFormat="1" x14ac:dyDescent="0.2">
      <c r="A157" s="181"/>
      <c r="B157" s="181"/>
      <c r="C157" s="181"/>
      <c r="D157" s="181"/>
      <c r="E157" s="154" t="s">
        <v>614</v>
      </c>
      <c r="F157" s="269">
        <v>5</v>
      </c>
      <c r="G157" s="181" t="s">
        <v>615</v>
      </c>
      <c r="H157" s="413"/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</row>
    <row r="158" spans="1:25" s="180" customFormat="1" x14ac:dyDescent="0.2">
      <c r="A158" s="181"/>
      <c r="B158" s="181"/>
      <c r="C158" s="181"/>
      <c r="D158" s="181"/>
      <c r="E158" s="154" t="s">
        <v>616</v>
      </c>
      <c r="F158" s="193">
        <f>DATE(YEAR(F156)+F157,MONTH(F156),DAY(F156))</f>
        <v>47573</v>
      </c>
      <c r="G158" s="154" t="s">
        <v>611</v>
      </c>
      <c r="H158" s="412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1"/>
      <c r="U158" s="181"/>
      <c r="V158" s="181"/>
      <c r="W158" s="181"/>
      <c r="X158" s="181"/>
    </row>
    <row r="159" spans="1:25" s="180" customFormat="1" x14ac:dyDescent="0.2">
      <c r="A159" s="181"/>
      <c r="B159" s="181"/>
      <c r="C159" s="181"/>
      <c r="D159" s="181"/>
      <c r="E159" s="154"/>
      <c r="F159" s="154"/>
      <c r="G159" s="154"/>
      <c r="H159" s="412"/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  <c r="S159" s="181"/>
      <c r="T159" s="181"/>
      <c r="U159" s="181"/>
      <c r="V159" s="181"/>
      <c r="W159" s="181"/>
      <c r="X159" s="181"/>
    </row>
    <row r="160" spans="1:25" s="180" customFormat="1" x14ac:dyDescent="0.2">
      <c r="A160" s="181"/>
      <c r="B160" s="181"/>
      <c r="C160" s="181"/>
      <c r="D160" s="181"/>
      <c r="E160" s="154" t="s">
        <v>617</v>
      </c>
      <c r="F160" s="268">
        <v>46112</v>
      </c>
      <c r="G160" s="154" t="s">
        <v>611</v>
      </c>
      <c r="H160" s="412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1"/>
      <c r="U160" s="181"/>
      <c r="V160" s="181"/>
      <c r="W160" s="181"/>
      <c r="X160" s="181"/>
    </row>
    <row r="161" spans="1:24" s="180" customFormat="1" x14ac:dyDescent="0.2">
      <c r="A161" s="181"/>
      <c r="B161" s="181"/>
      <c r="C161" s="181"/>
      <c r="D161" s="181"/>
      <c r="E161" s="154" t="s">
        <v>618</v>
      </c>
      <c r="F161" s="268">
        <v>47573</v>
      </c>
      <c r="G161" s="154" t="s">
        <v>611</v>
      </c>
      <c r="H161" s="412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</row>
    <row r="162" spans="1:24" s="180" customFormat="1" x14ac:dyDescent="0.2">
      <c r="A162" s="181"/>
      <c r="B162" s="181"/>
      <c r="C162" s="181"/>
      <c r="D162" s="181"/>
      <c r="E162" s="154" t="s">
        <v>619</v>
      </c>
      <c r="F162" s="269">
        <v>2016</v>
      </c>
      <c r="G162" s="154" t="s">
        <v>620</v>
      </c>
      <c r="H162" s="413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1"/>
      <c r="U162" s="181"/>
      <c r="V162" s="181"/>
      <c r="W162" s="181"/>
      <c r="X162" s="181"/>
    </row>
    <row r="163" spans="1:24" s="180" customFormat="1" x14ac:dyDescent="0.2">
      <c r="A163" s="181"/>
      <c r="B163" s="181"/>
      <c r="C163" s="181"/>
      <c r="D163" s="181"/>
      <c r="E163" s="154" t="s">
        <v>621</v>
      </c>
      <c r="F163" s="269">
        <v>3</v>
      </c>
      <c r="G163" s="154" t="s">
        <v>622</v>
      </c>
      <c r="H163" s="413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  <c r="S163" s="181"/>
      <c r="T163" s="181"/>
      <c r="U163" s="181"/>
      <c r="V163" s="181"/>
      <c r="W163" s="181"/>
      <c r="X163" s="181"/>
    </row>
    <row r="164" spans="1:24" s="180" customFormat="1" x14ac:dyDescent="0.2">
      <c r="A164" s="181"/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</row>
    <row r="165" spans="1:24" s="402" customFormat="1" ht="13.5" x14ac:dyDescent="0.25">
      <c r="A165" s="208" t="s">
        <v>134</v>
      </c>
      <c r="B165" s="208"/>
      <c r="C165" s="208"/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</row>
    <row r="166" spans="1:24" x14ac:dyDescent="0.2"/>
    <row r="167" spans="1:24" x14ac:dyDescent="0.2"/>
    <row r="168" spans="1:24" x14ac:dyDescent="0.2"/>
    <row r="169" spans="1:24" x14ac:dyDescent="0.2"/>
    <row r="170" spans="1:24" x14ac:dyDescent="0.2"/>
    <row r="171" spans="1:24" x14ac:dyDescent="0.2"/>
    <row r="172" spans="1:24" x14ac:dyDescent="0.2"/>
    <row r="173" spans="1:24" x14ac:dyDescent="0.2"/>
    <row r="174" spans="1:24" x14ac:dyDescent="0.2"/>
    <row r="175" spans="1:24" x14ac:dyDescent="0.2"/>
    <row r="176" spans="1:24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</sheetData>
  <conditionalFormatting sqref="J3:X3">
    <cfRule type="cellIs" dxfId="83" priority="1" operator="equal">
      <formula>"Post-Fcst"</formula>
    </cfRule>
    <cfRule type="cellIs" dxfId="82" priority="2" operator="equal">
      <formula>"Post-Fcst Mod"</formula>
    </cfRule>
    <cfRule type="cellIs" dxfId="81" priority="3" operator="equal">
      <formula>"Forecast"</formula>
    </cfRule>
    <cfRule type="cellIs" dxfId="80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43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A8B3EB71-99EB-4621-AD7A-BD4D35246851}">
          <x14:formula1>
            <xm:f>Validation!$A$4:$A$5</xm:f>
          </x14:formula1>
          <xm:sqref>F12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A48CD-9D48-410B-91DF-E0D609B8D946}">
  <sheetPr>
    <tabColor rgb="FFFCEABF"/>
    <pageSetUpPr fitToPage="1"/>
  </sheetPr>
  <dimension ref="A1:Y199"/>
  <sheetViews>
    <sheetView showGridLines="0" zoomScale="80" zoomScaleNormal="80" workbookViewId="0">
      <pane xSplit="9" ySplit="5" topLeftCell="J68" activePane="bottomRight" state="frozen"/>
      <selection pane="topRight" activeCell="B4" sqref="B4"/>
      <selection pane="bottomLeft" activeCell="B4" sqref="B4"/>
      <selection pane="bottomRight" activeCell="E73" sqref="E73"/>
    </sheetView>
  </sheetViews>
  <sheetFormatPr defaultColWidth="9.625" defaultRowHeight="12.75" zeroHeight="1" x14ac:dyDescent="0.2"/>
  <cols>
    <col min="1" max="1" width="36.625" style="109" customWidth="1"/>
    <col min="2" max="4" width="1.625" style="109" customWidth="1"/>
    <col min="5" max="5" width="101.125" style="109" customWidth="1"/>
    <col min="6" max="6" width="25.625" style="3" customWidth="1"/>
    <col min="7" max="7" width="15.625" style="109" customWidth="1"/>
    <col min="8" max="8" width="15.625" style="3" customWidth="1"/>
    <col min="9" max="9" width="2.625" style="3" customWidth="1"/>
    <col min="10" max="22" width="9.625" style="3" customWidth="1"/>
    <col min="23" max="16384" width="9.625" style="3"/>
  </cols>
  <sheetData>
    <row r="1" spans="1:24" s="84" customFormat="1" ht="29.25" x14ac:dyDescent="0.2">
      <c r="A1" s="111" t="str">
        <f ca="1" xml:space="preserve"> RIGHT(CELL("filename", $A$1), LEN(CELL("filename", $A$1)) - SEARCH("]", CELL("filename", $A$1)))</f>
        <v>InpCompany</v>
      </c>
      <c r="B1" s="111"/>
      <c r="C1" s="111"/>
      <c r="D1" s="111"/>
      <c r="E1" s="111"/>
      <c r="F1" s="111"/>
      <c r="G1" s="111"/>
      <c r="H1" s="392" t="str">
        <f>InpCompany!F9</f>
        <v>Anglian Water</v>
      </c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1:24" s="1" customFormat="1" x14ac:dyDescent="0.2">
      <c r="A2" s="119"/>
      <c r="B2" s="119"/>
      <c r="C2" s="119"/>
      <c r="D2" s="119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6" customFormat="1" x14ac:dyDescent="0.2">
      <c r="A3" s="119"/>
      <c r="B3" s="119"/>
      <c r="C3" s="119"/>
      <c r="D3" s="119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7" customFormat="1" x14ac:dyDescent="0.2">
      <c r="A4" s="20"/>
      <c r="B4" s="96"/>
      <c r="C4" s="139"/>
      <c r="D4" s="98"/>
      <c r="E4" s="150" t="str">
        <f>Time!E$106</f>
        <v>Financial Year Ending</v>
      </c>
      <c r="F4" s="120"/>
      <c r="G4" s="120"/>
      <c r="H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1" customFormat="1" x14ac:dyDescent="0.2">
      <c r="A5" s="109"/>
      <c r="B5" s="109"/>
      <c r="C5" s="109"/>
      <c r="D5" s="109"/>
      <c r="E5" s="120" t="str">
        <f>Time!E$10</f>
        <v>Model column counter</v>
      </c>
      <c r="F5" s="149" t="s">
        <v>532</v>
      </c>
      <c r="G5" s="149" t="s">
        <v>186</v>
      </c>
      <c r="H5" s="2" t="s">
        <v>533</v>
      </c>
      <c r="I5" s="3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1" customFormat="1" x14ac:dyDescent="0.2">
      <c r="A6" s="109"/>
      <c r="B6" s="109"/>
      <c r="C6" s="109"/>
      <c r="D6" s="109"/>
      <c r="E6" s="120"/>
      <c r="F6" s="149"/>
      <c r="G6" s="149"/>
      <c r="H6" s="2"/>
      <c r="I6" s="3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209" customFormat="1" ht="13.5" x14ac:dyDescent="0.25">
      <c r="A7" s="209" t="s">
        <v>74</v>
      </c>
    </row>
    <row r="8" spans="1:24" s="180" customFormat="1" x14ac:dyDescent="0.2">
      <c r="A8" s="181"/>
      <c r="B8" s="181"/>
      <c r="C8" s="181"/>
      <c r="D8" s="181"/>
      <c r="E8" s="181"/>
      <c r="F8" s="181"/>
      <c r="G8" s="181"/>
      <c r="H8" s="181"/>
      <c r="I8" s="182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81"/>
      <c r="U8" s="181"/>
      <c r="V8" s="181"/>
      <c r="W8" s="181"/>
      <c r="X8" s="181"/>
    </row>
    <row r="9" spans="1:24" s="180" customFormat="1" x14ac:dyDescent="0.2">
      <c r="A9" s="181"/>
      <c r="B9" s="181"/>
      <c r="C9" s="181"/>
      <c r="D9" s="181"/>
      <c r="E9" s="181" t="s">
        <v>88</v>
      </c>
      <c r="F9" s="404" t="s">
        <v>95</v>
      </c>
      <c r="G9" s="181" t="s">
        <v>534</v>
      </c>
      <c r="H9" s="181"/>
      <c r="I9" s="183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</row>
    <row r="10" spans="1:24" s="180" customFormat="1" x14ac:dyDescent="0.2">
      <c r="A10" s="181"/>
      <c r="B10" s="181"/>
      <c r="C10" s="181"/>
      <c r="D10" s="181"/>
      <c r="E10" s="181" t="s">
        <v>535</v>
      </c>
      <c r="F10" s="389" t="str">
        <f>INDEX(Validation!C4:C23, MATCH(F9, Validation!B4:B23, 0))</f>
        <v>ANH</v>
      </c>
      <c r="G10" s="181"/>
      <c r="H10" s="181"/>
      <c r="I10" s="183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</row>
    <row r="11" spans="1:24" s="180" customFormat="1" x14ac:dyDescent="0.2">
      <c r="A11" s="181"/>
      <c r="B11" s="181"/>
      <c r="C11" s="181"/>
      <c r="D11" s="181"/>
      <c r="E11" s="181"/>
      <c r="F11" s="181"/>
      <c r="G11" s="181"/>
      <c r="H11" s="181"/>
      <c r="I11" s="183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</row>
    <row r="12" spans="1:24" s="180" customFormat="1" x14ac:dyDescent="0.2">
      <c r="A12" s="181"/>
      <c r="B12" s="181"/>
      <c r="C12" s="181"/>
      <c r="D12" s="181"/>
      <c r="E12" s="181" t="s">
        <v>87</v>
      </c>
      <c r="F12" s="161" t="s">
        <v>94</v>
      </c>
      <c r="G12" s="181" t="s">
        <v>536</v>
      </c>
      <c r="H12" s="184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</row>
    <row r="13" spans="1:24" s="180" customFormat="1" x14ac:dyDescent="0.2">
      <c r="A13" s="181"/>
      <c r="B13" s="181"/>
      <c r="C13" s="181"/>
      <c r="D13" s="181"/>
      <c r="E13" s="181"/>
      <c r="F13" s="181"/>
      <c r="G13" s="183"/>
      <c r="H13" s="183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</row>
    <row r="14" spans="1:24" s="180" customFormat="1" x14ac:dyDescent="0.2">
      <c r="A14" s="181"/>
      <c r="B14" s="181"/>
      <c r="C14" s="181"/>
      <c r="D14" s="181"/>
      <c r="E14" s="181" t="s">
        <v>537</v>
      </c>
      <c r="F14" s="281" t="s">
        <v>192</v>
      </c>
      <c r="G14" s="181" t="s">
        <v>536</v>
      </c>
      <c r="H14" s="183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</row>
    <row r="15" spans="1:24" s="180" customFormat="1" x14ac:dyDescent="0.2">
      <c r="A15" s="181"/>
      <c r="B15" s="181"/>
      <c r="C15" s="181"/>
      <c r="D15" s="181"/>
      <c r="E15" s="181" t="s">
        <v>538</v>
      </c>
      <c r="F15" s="181" t="str">
        <f>"£m ("&amp;F14&amp;" FYA CPIH prices)"</f>
        <v>£m (2017-18 FYA CPIH prices)</v>
      </c>
      <c r="G15" s="181" t="s">
        <v>534</v>
      </c>
      <c r="H15" s="183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</row>
    <row r="16" spans="1:24" s="180" customFormat="1" x14ac:dyDescent="0.2">
      <c r="A16" s="181"/>
      <c r="B16" s="181"/>
      <c r="C16" s="181"/>
      <c r="D16" s="181"/>
      <c r="E16" s="181"/>
      <c r="F16" s="181"/>
      <c r="G16" s="181"/>
      <c r="H16" s="183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</row>
    <row r="17" spans="1:24" s="340" customFormat="1" x14ac:dyDescent="0.2">
      <c r="A17" s="257"/>
      <c r="B17" s="257"/>
      <c r="C17" s="257"/>
      <c r="D17" s="257"/>
      <c r="E17" s="257"/>
      <c r="F17" s="257"/>
      <c r="G17" s="257"/>
      <c r="H17" s="339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</row>
    <row r="18" spans="1:24" s="180" customFormat="1" x14ac:dyDescent="0.2">
      <c r="A18" s="181"/>
      <c r="B18" s="181"/>
      <c r="C18" s="181"/>
      <c r="D18" s="181"/>
      <c r="E18" s="181"/>
      <c r="F18" s="257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</row>
    <row r="19" spans="1:24" s="180" customFormat="1" x14ac:dyDescent="0.2">
      <c r="A19" s="181"/>
      <c r="B19" s="181"/>
      <c r="C19" s="185" t="s">
        <v>539</v>
      </c>
      <c r="D19" s="181"/>
      <c r="E19" s="181"/>
      <c r="F19" s="181"/>
      <c r="G19" s="181"/>
      <c r="H19" s="181"/>
      <c r="I19" s="181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81"/>
      <c r="U19" s="181"/>
      <c r="V19" s="181"/>
      <c r="W19" s="181"/>
      <c r="X19" s="181"/>
    </row>
    <row r="20" spans="1:24" s="180" customFormat="1" x14ac:dyDescent="0.2">
      <c r="A20" s="181"/>
      <c r="B20" s="181"/>
      <c r="C20" s="181"/>
      <c r="D20" s="181"/>
      <c r="E20" s="181"/>
      <c r="F20" s="181"/>
      <c r="G20" s="181"/>
      <c r="H20" s="181"/>
      <c r="I20" s="181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81"/>
      <c r="U20" s="181"/>
      <c r="V20" s="181"/>
      <c r="W20" s="181"/>
      <c r="X20" s="181"/>
    </row>
    <row r="21" spans="1:24" s="180" customFormat="1" x14ac:dyDescent="0.2">
      <c r="A21" s="181"/>
      <c r="B21" s="181"/>
      <c r="C21" s="181"/>
      <c r="D21" s="186" t="s">
        <v>540</v>
      </c>
      <c r="E21" s="181"/>
      <c r="F21" s="181"/>
      <c r="G21" s="181"/>
      <c r="H21" s="181"/>
      <c r="I21" s="181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81"/>
      <c r="U21" s="181"/>
      <c r="V21" s="181"/>
      <c r="W21" s="181"/>
      <c r="X21" s="181"/>
    </row>
    <row r="22" spans="1:24" s="180" customFormat="1" x14ac:dyDescent="0.2">
      <c r="A22" s="319" t="str">
        <f>F_Inputs!B87</f>
        <v>PR24PD27_REV_WR_PR24_BYA</v>
      </c>
      <c r="B22" s="181"/>
      <c r="C22" s="181"/>
      <c r="D22" s="181"/>
      <c r="E22" s="154" t="s">
        <v>541</v>
      </c>
      <c r="F22" s="258">
        <v>-8.7999999999999995E-2</v>
      </c>
      <c r="G22" s="181" t="str">
        <f t="shared" ref="G22:G29" si="0">$F$15</f>
        <v>£m (2017-18 FYA CPIH prices)</v>
      </c>
      <c r="H22" s="181"/>
      <c r="I22" s="181"/>
      <c r="J22" s="405"/>
      <c r="K22" s="405"/>
      <c r="L22" s="154"/>
      <c r="M22" s="154"/>
      <c r="N22" s="154"/>
      <c r="O22" s="154"/>
      <c r="P22" s="154"/>
      <c r="Q22" s="154"/>
      <c r="R22" s="154"/>
      <c r="S22" s="154"/>
      <c r="T22" s="181"/>
      <c r="U22" s="181"/>
      <c r="V22" s="181"/>
      <c r="W22" s="181"/>
      <c r="X22" s="181"/>
    </row>
    <row r="23" spans="1:24" s="180" customFormat="1" x14ac:dyDescent="0.2">
      <c r="A23" s="319" t="str">
        <f>F_Inputs!B88</f>
        <v>PR24PD27_REV_WN_PR24_BYA</v>
      </c>
      <c r="B23" s="181"/>
      <c r="C23" s="181"/>
      <c r="D23" s="181"/>
      <c r="E23" s="154" t="s">
        <v>542</v>
      </c>
      <c r="F23" s="258">
        <v>-20.282</v>
      </c>
      <c r="G23" s="181" t="str">
        <f t="shared" si="0"/>
        <v>£m (2017-18 FYA CPIH prices)</v>
      </c>
      <c r="H23" s="181"/>
      <c r="I23" s="181"/>
      <c r="J23" s="405"/>
      <c r="K23" s="405"/>
      <c r="L23" s="154"/>
      <c r="M23" s="154"/>
      <c r="N23" s="154"/>
      <c r="O23" s="154"/>
      <c r="P23" s="154"/>
      <c r="Q23" s="154"/>
      <c r="R23" s="154"/>
      <c r="S23" s="154"/>
      <c r="T23" s="181"/>
      <c r="U23" s="181"/>
      <c r="V23" s="181"/>
      <c r="W23" s="181"/>
      <c r="X23" s="181"/>
    </row>
    <row r="24" spans="1:24" s="180" customFormat="1" x14ac:dyDescent="0.2">
      <c r="A24" s="319" t="str">
        <f>F_Inputs!B89</f>
        <v>PR24PD27_REV_WWN_PR24_BYA</v>
      </c>
      <c r="B24" s="181"/>
      <c r="C24" s="181"/>
      <c r="D24" s="181"/>
      <c r="E24" s="154" t="s">
        <v>543</v>
      </c>
      <c r="F24" s="258">
        <v>-16.908000000000001</v>
      </c>
      <c r="G24" s="181" t="str">
        <f t="shared" si="0"/>
        <v>£m (2017-18 FYA CPIH prices)</v>
      </c>
      <c r="H24" s="181"/>
      <c r="I24" s="181"/>
      <c r="J24" s="405"/>
      <c r="K24" s="405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</row>
    <row r="25" spans="1:24" s="180" customFormat="1" x14ac:dyDescent="0.2">
      <c r="A25" s="319" t="str">
        <f>F_Inputs!B90</f>
        <v>PR24PD27_REV_BIO_PR24_BYA</v>
      </c>
      <c r="B25" s="181"/>
      <c r="C25" s="181"/>
      <c r="D25" s="181"/>
      <c r="E25" s="154" t="s">
        <v>544</v>
      </c>
      <c r="F25" s="258">
        <v>0</v>
      </c>
      <c r="G25" s="181" t="str">
        <f t="shared" si="0"/>
        <v>£m (2017-18 FYA CPIH prices)</v>
      </c>
      <c r="H25" s="181"/>
      <c r="I25" s="181"/>
      <c r="J25" s="405"/>
      <c r="K25" s="405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</row>
    <row r="26" spans="1:24" s="180" customFormat="1" x14ac:dyDescent="0.2">
      <c r="A26" s="319" t="str">
        <f>F_Inputs!B91</f>
        <v>PR24PD27_REV_RR_PR24_BYA</v>
      </c>
      <c r="B26" s="181"/>
      <c r="C26" s="181"/>
      <c r="D26" s="181"/>
      <c r="E26" s="154" t="s">
        <v>545</v>
      </c>
      <c r="F26" s="258">
        <v>0.89600000000000002</v>
      </c>
      <c r="G26" s="181" t="str">
        <f t="shared" si="0"/>
        <v>£m (2017-18 FYA CPIH prices)</v>
      </c>
      <c r="H26" s="181"/>
      <c r="I26" s="181"/>
      <c r="J26" s="405"/>
      <c r="K26" s="405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</row>
    <row r="27" spans="1:24" s="180" customFormat="1" x14ac:dyDescent="0.2">
      <c r="A27" s="319" t="str">
        <f>F_Inputs!B92</f>
        <v>PR24PD27_REV_BR_PR24_BYA</v>
      </c>
      <c r="B27" s="181"/>
      <c r="C27" s="181"/>
      <c r="D27" s="181"/>
      <c r="E27" s="154" t="s">
        <v>546</v>
      </c>
      <c r="F27" s="258">
        <v>0</v>
      </c>
      <c r="G27" s="181" t="str">
        <f t="shared" si="0"/>
        <v>£m (2017-18 FYA CPIH prices)</v>
      </c>
      <c r="H27" s="181"/>
      <c r="I27" s="181"/>
      <c r="J27" s="405"/>
      <c r="K27" s="405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</row>
    <row r="28" spans="1:24" s="180" customFormat="1" x14ac:dyDescent="0.2">
      <c r="A28" s="319" t="str">
        <f>F_Inputs!B93</f>
        <v>PR24PD27_REV_ADDN1_PR24_BYA</v>
      </c>
      <c r="B28" s="181"/>
      <c r="C28" s="181"/>
      <c r="D28" s="181"/>
      <c r="E28" s="154" t="s">
        <v>547</v>
      </c>
      <c r="F28" s="258">
        <v>0</v>
      </c>
      <c r="G28" s="181" t="str">
        <f t="shared" si="0"/>
        <v>£m (2017-18 FYA CPIH prices)</v>
      </c>
      <c r="H28" s="181"/>
      <c r="I28" s="181"/>
      <c r="J28" s="405"/>
      <c r="K28" s="405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</row>
    <row r="29" spans="1:24" s="180" customFormat="1" x14ac:dyDescent="0.2">
      <c r="A29" s="319" t="str">
        <f>F_Inputs!B94</f>
        <v>PR24PD27_REV_ADDN2_PR24_BYA</v>
      </c>
      <c r="B29" s="181"/>
      <c r="C29" s="181"/>
      <c r="D29" s="181"/>
      <c r="E29" s="154" t="s">
        <v>548</v>
      </c>
      <c r="F29" s="258">
        <v>0</v>
      </c>
      <c r="G29" s="181" t="str">
        <f t="shared" si="0"/>
        <v>£m (2017-18 FYA CPIH prices)</v>
      </c>
      <c r="H29" s="181"/>
      <c r="I29" s="181"/>
      <c r="J29" s="405"/>
      <c r="K29" s="405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</row>
    <row r="30" spans="1:24" s="180" customFormat="1" x14ac:dyDescent="0.2">
      <c r="A30" s="181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</row>
    <row r="31" spans="1:24" s="180" customFormat="1" x14ac:dyDescent="0.2">
      <c r="A31" s="181"/>
      <c r="B31" s="181"/>
      <c r="C31" s="181"/>
      <c r="D31" s="186" t="s">
        <v>549</v>
      </c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</row>
    <row r="32" spans="1:24" s="180" customFormat="1" x14ac:dyDescent="0.2">
      <c r="A32" s="181" t="str">
        <f>F_Inputs!B128</f>
        <v>IPD04_CO_IN_51</v>
      </c>
      <c r="B32" s="181"/>
      <c r="C32" s="181"/>
      <c r="D32" s="181"/>
      <c r="E32" s="257" t="s">
        <v>446</v>
      </c>
      <c r="F32" s="258">
        <v>2.1949999999999998</v>
      </c>
      <c r="G32" s="181" t="str">
        <f>$F$15</f>
        <v>£m (2017-18 FYA CPIH prices)</v>
      </c>
      <c r="H32" s="181"/>
      <c r="I32" s="181"/>
      <c r="J32" s="405"/>
      <c r="K32" s="405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</row>
    <row r="33" spans="1:24" s="180" customFormat="1" x14ac:dyDescent="0.2">
      <c r="A33" s="181" t="str">
        <f>F_Inputs!B129</f>
        <v>IPD04_CO_IN_52</v>
      </c>
      <c r="B33" s="181"/>
      <c r="C33" s="181"/>
      <c r="D33" s="181"/>
      <c r="E33" s="181" t="s">
        <v>448</v>
      </c>
      <c r="F33" s="258">
        <v>2.7355185817744362E-2</v>
      </c>
      <c r="G33" s="181" t="str">
        <f>$F$15</f>
        <v>£m (2017-18 FYA CPIH prices)</v>
      </c>
      <c r="H33" s="181"/>
      <c r="I33" s="181"/>
      <c r="J33" s="405"/>
      <c r="K33" s="405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</row>
    <row r="34" spans="1:24" s="180" customFormat="1" x14ac:dyDescent="0.2">
      <c r="A34" s="178" t="str">
        <f>F_Inputs!B130</f>
        <v>IPD04_CO_IN_54</v>
      </c>
      <c r="B34" s="181"/>
      <c r="C34" s="181"/>
      <c r="D34" s="181"/>
      <c r="E34" s="181" t="s">
        <v>450</v>
      </c>
      <c r="F34" s="258"/>
      <c r="G34" s="181" t="str">
        <f>$F$15</f>
        <v>£m (2017-18 FYA CPIH prices)</v>
      </c>
      <c r="H34" s="181"/>
      <c r="I34" s="181"/>
      <c r="J34" s="405"/>
      <c r="K34" s="405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</row>
    <row r="35" spans="1:24" s="180" customFormat="1" x14ac:dyDescent="0.2">
      <c r="A35" s="181" t="str">
        <f>F_Inputs!B131</f>
        <v>IPD04_CO_IN_53</v>
      </c>
      <c r="B35" s="181"/>
      <c r="C35" s="181"/>
      <c r="D35" s="181"/>
      <c r="E35" s="181" t="s">
        <v>452</v>
      </c>
      <c r="F35" s="258">
        <v>1.5789240504172835E-2</v>
      </c>
      <c r="G35" s="181" t="str">
        <f>$F$15</f>
        <v>£m (2017-18 FYA CPIH prices)</v>
      </c>
      <c r="H35" s="181"/>
      <c r="I35" s="181"/>
      <c r="J35" s="405"/>
      <c r="K35" s="405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</row>
    <row r="36" spans="1:24" s="180" customFormat="1" x14ac:dyDescent="0.2">
      <c r="A36" s="181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</row>
    <row r="37" spans="1:24" s="180" customFormat="1" x14ac:dyDescent="0.2">
      <c r="A37" s="181"/>
      <c r="B37" s="181"/>
      <c r="C37" s="181"/>
      <c r="D37" s="259" t="s">
        <v>550</v>
      </c>
      <c r="E37" s="257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</row>
    <row r="38" spans="1:24" s="180" customFormat="1" x14ac:dyDescent="0.2">
      <c r="A38" s="181" t="str">
        <f>F_Inputs!B96</f>
        <v>IPD04_CO_IN_01</v>
      </c>
      <c r="B38" s="181"/>
      <c r="C38" s="181"/>
      <c r="D38" s="181"/>
      <c r="E38" s="154" t="s">
        <v>551</v>
      </c>
      <c r="F38" s="258"/>
      <c r="G38" s="181" t="str">
        <f t="shared" ref="G38:G45" si="1">$F$15</f>
        <v>£m (2017-18 FYA CPIH prices)</v>
      </c>
      <c r="H38" s="181"/>
      <c r="I38" s="181"/>
      <c r="J38" s="405"/>
      <c r="K38" s="405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</row>
    <row r="39" spans="1:24" s="180" customFormat="1" x14ac:dyDescent="0.2">
      <c r="A39" s="181" t="str">
        <f>F_Inputs!B97</f>
        <v>IPD04_CO_IN_02</v>
      </c>
      <c r="B39" s="181"/>
      <c r="C39" s="181"/>
      <c r="D39" s="181"/>
      <c r="E39" s="154" t="s">
        <v>552</v>
      </c>
      <c r="F39" s="258"/>
      <c r="G39" s="181" t="str">
        <f t="shared" si="1"/>
        <v>£m (2017-18 FYA CPIH prices)</v>
      </c>
      <c r="H39" s="181"/>
      <c r="I39" s="181"/>
      <c r="J39" s="405"/>
      <c r="K39" s="405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</row>
    <row r="40" spans="1:24" s="180" customFormat="1" x14ac:dyDescent="0.2">
      <c r="A40" s="181" t="str">
        <f>F_Inputs!B98</f>
        <v>IPD04_CO_IN_03</v>
      </c>
      <c r="B40" s="181"/>
      <c r="C40" s="181"/>
      <c r="D40" s="181"/>
      <c r="E40" s="154" t="s">
        <v>553</v>
      </c>
      <c r="F40" s="258"/>
      <c r="G40" s="181" t="str">
        <f t="shared" si="1"/>
        <v>£m (2017-18 FYA CPIH prices)</v>
      </c>
      <c r="H40" s="181"/>
      <c r="I40" s="181"/>
      <c r="J40" s="405"/>
      <c r="K40" s="405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</row>
    <row r="41" spans="1:24" s="180" customFormat="1" x14ac:dyDescent="0.2">
      <c r="A41" s="181" t="str">
        <f>F_Inputs!B99</f>
        <v>IPD04_CO_IN_04</v>
      </c>
      <c r="B41" s="181"/>
      <c r="C41" s="181"/>
      <c r="D41" s="181"/>
      <c r="E41" s="154" t="s">
        <v>554</v>
      </c>
      <c r="F41" s="258"/>
      <c r="G41" s="181" t="str">
        <f t="shared" si="1"/>
        <v>£m (2017-18 FYA CPIH prices)</v>
      </c>
      <c r="H41" s="181"/>
      <c r="I41" s="181"/>
      <c r="J41" s="405"/>
      <c r="K41" s="405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</row>
    <row r="42" spans="1:24" s="180" customFormat="1" x14ac:dyDescent="0.2">
      <c r="A42" s="181" t="str">
        <f>F_Inputs!B100</f>
        <v>IPD04_CO_IN_05</v>
      </c>
      <c r="B42" s="181"/>
      <c r="C42" s="181"/>
      <c r="D42" s="181"/>
      <c r="E42" s="154" t="s">
        <v>555</v>
      </c>
      <c r="F42" s="258"/>
      <c r="G42" s="181" t="str">
        <f t="shared" si="1"/>
        <v>£m (2017-18 FYA CPIH prices)</v>
      </c>
      <c r="H42" s="181"/>
      <c r="I42" s="181"/>
      <c r="J42" s="405"/>
      <c r="K42" s="405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</row>
    <row r="43" spans="1:24" s="180" customFormat="1" x14ac:dyDescent="0.2">
      <c r="A43" s="181" t="str">
        <f>F_Inputs!B101</f>
        <v>IPD04_CO_IN_06</v>
      </c>
      <c r="B43" s="181"/>
      <c r="C43" s="181"/>
      <c r="D43" s="181"/>
      <c r="E43" s="154" t="s">
        <v>556</v>
      </c>
      <c r="F43" s="258"/>
      <c r="G43" s="181" t="str">
        <f t="shared" si="1"/>
        <v>£m (2017-18 FYA CPIH prices)</v>
      </c>
      <c r="H43" s="181"/>
      <c r="I43" s="181"/>
      <c r="J43" s="405"/>
      <c r="K43" s="405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</row>
    <row r="44" spans="1:24" s="180" customFormat="1" x14ac:dyDescent="0.2">
      <c r="A44" s="181" t="str">
        <f>F_Inputs!B102</f>
        <v>IPD04_CO_IN_07</v>
      </c>
      <c r="B44" s="181"/>
      <c r="C44" s="181"/>
      <c r="D44" s="181"/>
      <c r="E44" s="154" t="s">
        <v>557</v>
      </c>
      <c r="F44" s="258"/>
      <c r="G44" s="181" t="str">
        <f t="shared" si="1"/>
        <v>£m (2017-18 FYA CPIH prices)</v>
      </c>
      <c r="H44" s="181"/>
      <c r="I44" s="181"/>
      <c r="J44" s="405"/>
      <c r="K44" s="405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</row>
    <row r="45" spans="1:24" s="180" customFormat="1" x14ac:dyDescent="0.2">
      <c r="A45" s="178" t="str">
        <f>F_Inputs!B103</f>
        <v>IPD04_CO_IN_07a</v>
      </c>
      <c r="B45" s="181"/>
      <c r="C45" s="181"/>
      <c r="D45" s="181"/>
      <c r="E45" s="154" t="s">
        <v>558</v>
      </c>
      <c r="F45" s="258"/>
      <c r="G45" s="181" t="str">
        <f t="shared" si="1"/>
        <v>£m (2017-18 FYA CPIH prices)</v>
      </c>
      <c r="H45" s="181"/>
      <c r="I45" s="181"/>
      <c r="J45" s="405"/>
      <c r="K45" s="405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</row>
    <row r="46" spans="1:24" s="180" customFormat="1" x14ac:dyDescent="0.2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</row>
    <row r="47" spans="1:24" s="180" customFormat="1" x14ac:dyDescent="0.2">
      <c r="A47" s="181"/>
      <c r="B47" s="181"/>
      <c r="C47" s="185" t="s">
        <v>559</v>
      </c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</row>
    <row r="48" spans="1:24" s="180" customFormat="1" x14ac:dyDescent="0.2">
      <c r="A48" s="181"/>
      <c r="B48" s="181"/>
      <c r="C48" s="185"/>
      <c r="D48" s="187" t="s">
        <v>560</v>
      </c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</row>
    <row r="49" spans="1:24" s="180" customFormat="1" x14ac:dyDescent="0.2">
      <c r="A49" s="181"/>
      <c r="B49" s="181"/>
      <c r="C49" s="185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</row>
    <row r="50" spans="1:24" s="180" customFormat="1" x14ac:dyDescent="0.2">
      <c r="A50" s="181"/>
      <c r="B50" s="181"/>
      <c r="C50" s="181"/>
      <c r="D50" s="186" t="s">
        <v>561</v>
      </c>
      <c r="E50" s="181"/>
      <c r="F50" s="181"/>
      <c r="G50" s="181"/>
      <c r="H50" s="188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</row>
    <row r="51" spans="1:24" s="180" customFormat="1" x14ac:dyDescent="0.2">
      <c r="A51" s="181" t="str">
        <f>F_Inputs!B104</f>
        <v>IPD04_CO_IN_11</v>
      </c>
      <c r="B51" s="181"/>
      <c r="C51" s="181"/>
      <c r="D51" s="181"/>
      <c r="E51" s="181" t="s">
        <v>562</v>
      </c>
      <c r="F51" s="258"/>
      <c r="G51" s="181" t="str">
        <f t="shared" ref="G51:G58" si="2">$F$15</f>
        <v>£m (2017-18 FYA CPIH prices)</v>
      </c>
      <c r="H51" s="181"/>
      <c r="I51" s="181"/>
      <c r="J51" s="405"/>
      <c r="K51" s="405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</row>
    <row r="52" spans="1:24" s="180" customFormat="1" x14ac:dyDescent="0.2">
      <c r="A52" s="181" t="str">
        <f>F_Inputs!B105</f>
        <v>IPD04_CO_IN_12</v>
      </c>
      <c r="B52" s="181"/>
      <c r="C52" s="181"/>
      <c r="D52" s="181"/>
      <c r="E52" s="181" t="s">
        <v>563</v>
      </c>
      <c r="F52" s="258"/>
      <c r="G52" s="181" t="str">
        <f t="shared" si="2"/>
        <v>£m (2017-18 FYA CPIH prices)</v>
      </c>
      <c r="H52" s="181"/>
      <c r="I52" s="181"/>
      <c r="J52" s="405"/>
      <c r="K52" s="405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</row>
    <row r="53" spans="1:24" s="180" customFormat="1" x14ac:dyDescent="0.2">
      <c r="A53" s="181" t="str">
        <f>F_Inputs!B106</f>
        <v>IPD04_CO_IN_13</v>
      </c>
      <c r="B53" s="181"/>
      <c r="C53" s="181"/>
      <c r="D53" s="181"/>
      <c r="E53" s="181" t="s">
        <v>564</v>
      </c>
      <c r="F53" s="258"/>
      <c r="G53" s="181" t="str">
        <f t="shared" si="2"/>
        <v>£m (2017-18 FYA CPIH prices)</v>
      </c>
      <c r="H53" s="181"/>
      <c r="I53" s="181"/>
      <c r="J53" s="405"/>
      <c r="K53" s="405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</row>
    <row r="54" spans="1:24" s="180" customFormat="1" x14ac:dyDescent="0.2">
      <c r="A54" s="181" t="str">
        <f>F_Inputs!B107</f>
        <v>IPD04_CO_IN_14</v>
      </c>
      <c r="B54" s="181"/>
      <c r="C54" s="181"/>
      <c r="D54" s="181"/>
      <c r="E54" s="181" t="s">
        <v>565</v>
      </c>
      <c r="F54" s="258"/>
      <c r="G54" s="181" t="str">
        <f t="shared" si="2"/>
        <v>£m (2017-18 FYA CPIH prices)</v>
      </c>
      <c r="H54" s="181"/>
      <c r="I54" s="181"/>
      <c r="J54" s="405"/>
      <c r="K54" s="405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</row>
    <row r="55" spans="1:24" s="180" customFormat="1" x14ac:dyDescent="0.2">
      <c r="A55" s="181" t="str">
        <f>F_Inputs!B108</f>
        <v>IPD04_CO_IN_15</v>
      </c>
      <c r="B55" s="181"/>
      <c r="C55" s="181"/>
      <c r="D55" s="181"/>
      <c r="E55" s="181" t="s">
        <v>566</v>
      </c>
      <c r="F55" s="258"/>
      <c r="G55" s="181" t="str">
        <f t="shared" si="2"/>
        <v>£m (2017-18 FYA CPIH prices)</v>
      </c>
      <c r="H55" s="181"/>
      <c r="I55" s="181"/>
      <c r="J55" s="405"/>
      <c r="K55" s="405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</row>
    <row r="56" spans="1:24" s="180" customFormat="1" x14ac:dyDescent="0.2">
      <c r="A56" s="181" t="str">
        <f>F_Inputs!B109</f>
        <v>IPD04_CO_IN_16</v>
      </c>
      <c r="B56" s="181"/>
      <c r="C56" s="181"/>
      <c r="D56" s="181"/>
      <c r="E56" s="181" t="s">
        <v>567</v>
      </c>
      <c r="F56" s="258"/>
      <c r="G56" s="181" t="str">
        <f t="shared" si="2"/>
        <v>£m (2017-18 FYA CPIH prices)</v>
      </c>
      <c r="H56" s="181"/>
      <c r="I56" s="181"/>
      <c r="J56" s="405"/>
      <c r="K56" s="405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</row>
    <row r="57" spans="1:24" s="180" customFormat="1" x14ac:dyDescent="0.2">
      <c r="A57" s="181" t="str">
        <f>F_Inputs!B110</f>
        <v>IPD04_CO_IN_17</v>
      </c>
      <c r="B57" s="181"/>
      <c r="C57" s="181"/>
      <c r="D57" s="181"/>
      <c r="E57" s="181" t="s">
        <v>568</v>
      </c>
      <c r="F57" s="258"/>
      <c r="G57" s="181" t="str">
        <f t="shared" si="2"/>
        <v>£m (2017-18 FYA CPIH prices)</v>
      </c>
      <c r="H57" s="181"/>
      <c r="I57" s="181"/>
      <c r="J57" s="405"/>
      <c r="K57" s="405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</row>
    <row r="58" spans="1:24" s="180" customFormat="1" x14ac:dyDescent="0.2">
      <c r="A58" s="178" t="str">
        <f>F_Inputs!B111</f>
        <v>IPD04_CO_IN_17a</v>
      </c>
      <c r="B58" s="181"/>
      <c r="C58" s="181"/>
      <c r="D58" s="181"/>
      <c r="E58" s="181" t="s">
        <v>569</v>
      </c>
      <c r="F58" s="258"/>
      <c r="G58" s="181" t="str">
        <f t="shared" si="2"/>
        <v>£m (2017-18 FYA CPIH prices)</v>
      </c>
      <c r="H58" s="181"/>
      <c r="I58" s="181"/>
      <c r="J58" s="405"/>
      <c r="K58" s="405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</row>
    <row r="59" spans="1:24" s="180" customFormat="1" x14ac:dyDescent="0.2">
      <c r="A59" s="181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</row>
    <row r="60" spans="1:24" s="180" customFormat="1" x14ac:dyDescent="0.2">
      <c r="A60" s="181"/>
      <c r="B60" s="181"/>
      <c r="C60" s="181"/>
      <c r="D60" s="186" t="s">
        <v>570</v>
      </c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</row>
    <row r="61" spans="1:24" s="180" customFormat="1" x14ac:dyDescent="0.2">
      <c r="A61" s="181" t="str">
        <f>F_Inputs!B112</f>
        <v>IPD04_CO_IN_21</v>
      </c>
      <c r="B61" s="181"/>
      <c r="C61" s="181"/>
      <c r="D61" s="181"/>
      <c r="E61" s="181" t="s">
        <v>571</v>
      </c>
      <c r="F61" s="258"/>
      <c r="G61" s="181" t="str">
        <f t="shared" ref="G61:G68" si="3">$F$15</f>
        <v>£m (2017-18 FYA CPIH prices)</v>
      </c>
      <c r="H61" s="181"/>
      <c r="I61" s="181"/>
      <c r="J61" s="405"/>
      <c r="K61" s="405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</row>
    <row r="62" spans="1:24" s="180" customFormat="1" x14ac:dyDescent="0.2">
      <c r="A62" s="181" t="str">
        <f>F_Inputs!B113</f>
        <v>IPD04_CO_IN_22</v>
      </c>
      <c r="B62" s="181"/>
      <c r="C62" s="181"/>
      <c r="D62" s="181"/>
      <c r="E62" s="181" t="s">
        <v>572</v>
      </c>
      <c r="F62" s="258"/>
      <c r="G62" s="181" t="str">
        <f t="shared" si="3"/>
        <v>£m (2017-18 FYA CPIH prices)</v>
      </c>
      <c r="H62" s="181"/>
      <c r="I62" s="181"/>
      <c r="J62" s="405"/>
      <c r="K62" s="405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</row>
    <row r="63" spans="1:24" s="180" customFormat="1" x14ac:dyDescent="0.2">
      <c r="A63" s="181" t="str">
        <f>F_Inputs!B114</f>
        <v>IPD04_CO_IN_23</v>
      </c>
      <c r="B63" s="181"/>
      <c r="C63" s="181"/>
      <c r="D63" s="181"/>
      <c r="E63" s="181" t="s">
        <v>573</v>
      </c>
      <c r="F63" s="258"/>
      <c r="G63" s="181" t="str">
        <f t="shared" si="3"/>
        <v>£m (2017-18 FYA CPIH prices)</v>
      </c>
      <c r="H63" s="181"/>
      <c r="I63" s="181"/>
      <c r="J63" s="405"/>
      <c r="K63" s="405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</row>
    <row r="64" spans="1:24" s="180" customFormat="1" x14ac:dyDescent="0.2">
      <c r="A64" s="181" t="str">
        <f>F_Inputs!B115</f>
        <v>IPD04_CO_IN_24</v>
      </c>
      <c r="B64" s="181"/>
      <c r="C64" s="181"/>
      <c r="D64" s="181"/>
      <c r="E64" s="181" t="s">
        <v>574</v>
      </c>
      <c r="F64" s="258"/>
      <c r="G64" s="181" t="str">
        <f t="shared" si="3"/>
        <v>£m (2017-18 FYA CPIH prices)</v>
      </c>
      <c r="H64" s="181"/>
      <c r="I64" s="181"/>
      <c r="J64" s="405"/>
      <c r="K64" s="405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</row>
    <row r="65" spans="1:24" s="180" customFormat="1" x14ac:dyDescent="0.2">
      <c r="A65" s="181" t="str">
        <f>F_Inputs!B116</f>
        <v>IPD04_CO_IN_25</v>
      </c>
      <c r="B65" s="181"/>
      <c r="C65" s="181"/>
      <c r="D65" s="181"/>
      <c r="E65" s="181" t="s">
        <v>575</v>
      </c>
      <c r="F65" s="258"/>
      <c r="G65" s="181" t="str">
        <f t="shared" si="3"/>
        <v>£m (2017-18 FYA CPIH prices)</v>
      </c>
      <c r="H65" s="181"/>
      <c r="I65" s="181"/>
      <c r="J65" s="405"/>
      <c r="K65" s="405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</row>
    <row r="66" spans="1:24" s="152" customFormat="1" x14ac:dyDescent="0.2">
      <c r="A66" s="181" t="str">
        <f>F_Inputs!B117</f>
        <v>IPD04_CO_IN_26</v>
      </c>
      <c r="B66" s="181"/>
      <c r="C66" s="181"/>
      <c r="D66" s="181"/>
      <c r="E66" s="181" t="s">
        <v>576</v>
      </c>
      <c r="F66" s="258"/>
      <c r="G66" s="181" t="str">
        <f t="shared" si="3"/>
        <v>£m (2017-18 FYA CPIH prices)</v>
      </c>
      <c r="H66" s="181"/>
      <c r="I66" s="154"/>
      <c r="J66" s="405"/>
      <c r="K66" s="405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</row>
    <row r="67" spans="1:24" s="180" customFormat="1" x14ac:dyDescent="0.2">
      <c r="A67" s="181" t="str">
        <f>F_Inputs!B118</f>
        <v>IPD04_CO_IN_27</v>
      </c>
      <c r="B67" s="181"/>
      <c r="C67" s="181"/>
      <c r="D67" s="181"/>
      <c r="E67" s="181" t="s">
        <v>577</v>
      </c>
      <c r="F67" s="258"/>
      <c r="G67" s="181" t="str">
        <f t="shared" si="3"/>
        <v>£m (2017-18 FYA CPIH prices)</v>
      </c>
      <c r="H67" s="181"/>
      <c r="I67" s="181"/>
      <c r="J67" s="405"/>
      <c r="K67" s="405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</row>
    <row r="68" spans="1:24" s="180" customFormat="1" x14ac:dyDescent="0.2">
      <c r="A68" s="178" t="str">
        <f>F_Inputs!B119</f>
        <v>IPD04_CO_IN_27a</v>
      </c>
      <c r="B68" s="181"/>
      <c r="C68" s="181"/>
      <c r="D68" s="181"/>
      <c r="E68" s="181" t="s">
        <v>578</v>
      </c>
      <c r="F68" s="258"/>
      <c r="G68" s="181" t="str">
        <f t="shared" si="3"/>
        <v>£m (2017-18 FYA CPIH prices)</v>
      </c>
      <c r="H68" s="181"/>
      <c r="I68" s="181"/>
      <c r="J68" s="405"/>
      <c r="K68" s="405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</row>
    <row r="69" spans="1:24" s="180" customFormat="1" x14ac:dyDescent="0.2">
      <c r="A69" s="181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</row>
    <row r="70" spans="1:24" s="180" customFormat="1" x14ac:dyDescent="0.2">
      <c r="A70" s="181"/>
      <c r="B70" s="181"/>
      <c r="C70" s="185" t="s">
        <v>579</v>
      </c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</row>
    <row r="71" spans="1:24" s="180" customFormat="1" x14ac:dyDescent="0.2">
      <c r="A71" s="181"/>
      <c r="B71" s="181"/>
      <c r="C71" s="185"/>
      <c r="D71" s="187" t="s">
        <v>580</v>
      </c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</row>
    <row r="72" spans="1:24" s="180" customFormat="1" x14ac:dyDescent="0.2">
      <c r="A72" s="181"/>
      <c r="B72" s="181"/>
      <c r="C72" s="185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</row>
    <row r="73" spans="1:24" s="180" customFormat="1" x14ac:dyDescent="0.2">
      <c r="A73" s="181" t="str">
        <f>F_Inputs!B120</f>
        <v>IPD04_CO_IN_31</v>
      </c>
      <c r="B73" s="181"/>
      <c r="C73" s="181"/>
      <c r="D73" s="181"/>
      <c r="E73" s="181" t="s">
        <v>430</v>
      </c>
      <c r="F73" s="258"/>
      <c r="G73" s="181" t="str">
        <f t="shared" ref="G73:G80" si="4">$F$15</f>
        <v>£m (2017-18 FYA CPIH prices)</v>
      </c>
      <c r="H73" s="181"/>
      <c r="I73" s="181"/>
      <c r="J73" s="405"/>
      <c r="K73" s="405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</row>
    <row r="74" spans="1:24" s="180" customFormat="1" x14ac:dyDescent="0.2">
      <c r="A74" s="181" t="str">
        <f>F_Inputs!B121</f>
        <v>IPD04_CO_IN_32</v>
      </c>
      <c r="B74" s="181"/>
      <c r="C74" s="181"/>
      <c r="D74" s="181"/>
      <c r="E74" s="181" t="s">
        <v>432</v>
      </c>
      <c r="F74" s="258"/>
      <c r="G74" s="181" t="str">
        <f t="shared" si="4"/>
        <v>£m (2017-18 FYA CPIH prices)</v>
      </c>
      <c r="H74" s="181"/>
      <c r="I74" s="181"/>
      <c r="J74" s="405"/>
      <c r="K74" s="405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</row>
    <row r="75" spans="1:24" s="180" customFormat="1" x14ac:dyDescent="0.2">
      <c r="A75" s="181" t="str">
        <f>F_Inputs!B122</f>
        <v>IPD04_CO_IN_33</v>
      </c>
      <c r="B75" s="181"/>
      <c r="C75" s="181"/>
      <c r="D75" s="181"/>
      <c r="E75" s="181" t="s">
        <v>434</v>
      </c>
      <c r="F75" s="258"/>
      <c r="G75" s="181" t="str">
        <f t="shared" si="4"/>
        <v>£m (2017-18 FYA CPIH prices)</v>
      </c>
      <c r="H75" s="181"/>
      <c r="I75" s="181"/>
      <c r="J75" s="405"/>
      <c r="K75" s="405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</row>
    <row r="76" spans="1:24" s="180" customFormat="1" x14ac:dyDescent="0.2">
      <c r="A76" s="181" t="str">
        <f>F_Inputs!B123</f>
        <v>IPD04_CO_IN_34</v>
      </c>
      <c r="B76" s="181"/>
      <c r="C76" s="181"/>
      <c r="D76" s="181"/>
      <c r="E76" s="181" t="s">
        <v>436</v>
      </c>
      <c r="F76" s="258"/>
      <c r="G76" s="181" t="str">
        <f t="shared" si="4"/>
        <v>£m (2017-18 FYA CPIH prices)</v>
      </c>
      <c r="H76" s="181"/>
      <c r="I76" s="181"/>
      <c r="J76" s="405"/>
      <c r="K76" s="405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</row>
    <row r="77" spans="1:24" s="180" customFormat="1" x14ac:dyDescent="0.2">
      <c r="A77" s="181" t="str">
        <f>F_Inputs!B124</f>
        <v>IPD04_CO_IN_35</v>
      </c>
      <c r="B77" s="181"/>
      <c r="C77" s="181"/>
      <c r="D77" s="181"/>
      <c r="E77" s="181" t="s">
        <v>438</v>
      </c>
      <c r="F77" s="258"/>
      <c r="G77" s="181" t="str">
        <f t="shared" si="4"/>
        <v>£m (2017-18 FYA CPIH prices)</v>
      </c>
      <c r="H77" s="181"/>
      <c r="I77" s="181"/>
      <c r="J77" s="405"/>
      <c r="K77" s="405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</row>
    <row r="78" spans="1:24" s="180" customFormat="1" x14ac:dyDescent="0.2">
      <c r="A78" s="181" t="str">
        <f>F_Inputs!B125</f>
        <v>IPD04_CO_IN_36</v>
      </c>
      <c r="B78" s="181"/>
      <c r="C78" s="181"/>
      <c r="D78" s="181"/>
      <c r="E78" s="181" t="s">
        <v>440</v>
      </c>
      <c r="F78" s="258"/>
      <c r="G78" s="181" t="str">
        <f t="shared" si="4"/>
        <v>£m (2017-18 FYA CPIH prices)</v>
      </c>
      <c r="H78" s="181"/>
      <c r="I78" s="181"/>
      <c r="J78" s="405"/>
      <c r="K78" s="405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</row>
    <row r="79" spans="1:24" s="180" customFormat="1" x14ac:dyDescent="0.2">
      <c r="A79" s="181" t="str">
        <f>F_Inputs!B126</f>
        <v>IPD04_CO_IN_37</v>
      </c>
      <c r="B79" s="181"/>
      <c r="C79" s="181"/>
      <c r="D79" s="181"/>
      <c r="E79" s="181" t="s">
        <v>442</v>
      </c>
      <c r="F79" s="258"/>
      <c r="G79" s="181" t="str">
        <f t="shared" si="4"/>
        <v>£m (2017-18 FYA CPIH prices)</v>
      </c>
      <c r="H79" s="181"/>
      <c r="I79" s="181"/>
      <c r="J79" s="405"/>
      <c r="K79" s="405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</row>
    <row r="80" spans="1:24" s="180" customFormat="1" x14ac:dyDescent="0.2">
      <c r="A80" s="178" t="str">
        <f>F_Inputs!B127</f>
        <v>IPD04_CO_IN_37a</v>
      </c>
      <c r="B80" s="181"/>
      <c r="C80" s="181"/>
      <c r="D80" s="181"/>
      <c r="E80" s="181" t="s">
        <v>444</v>
      </c>
      <c r="F80" s="258"/>
      <c r="G80" s="181" t="str">
        <f t="shared" si="4"/>
        <v>£m (2017-18 FYA CPIH prices)</v>
      </c>
      <c r="H80" s="181"/>
      <c r="I80" s="181"/>
      <c r="J80" s="405"/>
      <c r="K80" s="405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</row>
    <row r="81" spans="1:25" s="180" customFormat="1" x14ac:dyDescent="0.2">
      <c r="A81" s="181"/>
      <c r="B81" s="181"/>
      <c r="C81" s="181"/>
      <c r="D81" s="181"/>
      <c r="E81" s="181"/>
      <c r="F81" s="278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</row>
    <row r="82" spans="1:25" s="401" customFormat="1" ht="13.5" x14ac:dyDescent="0.25">
      <c r="A82" s="209" t="s">
        <v>581</v>
      </c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</row>
    <row r="83" spans="1:25" s="180" customFormat="1" x14ac:dyDescent="0.2">
      <c r="A83" s="181"/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</row>
    <row r="84" spans="1:25" s="180" customFormat="1" x14ac:dyDescent="0.2">
      <c r="A84" s="181"/>
      <c r="B84" s="185" t="s">
        <v>582</v>
      </c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</row>
    <row r="85" spans="1:25" s="180" customFormat="1" x14ac:dyDescent="0.2">
      <c r="A85" s="181"/>
      <c r="B85" s="185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</row>
    <row r="86" spans="1:25" s="180" customFormat="1" x14ac:dyDescent="0.2">
      <c r="A86" s="181" t="str">
        <f>F_Inputs!B63</f>
        <v>IPD04_CO_IN_61</v>
      </c>
      <c r="B86" s="181"/>
      <c r="C86" s="181"/>
      <c r="D86" s="181"/>
      <c r="E86" s="181" t="s">
        <v>326</v>
      </c>
      <c r="F86" s="444">
        <v>3.1199999999999999E-2</v>
      </c>
      <c r="G86" s="181" t="s">
        <v>583</v>
      </c>
      <c r="H86" s="181"/>
      <c r="I86" s="181"/>
      <c r="J86" s="405"/>
      <c r="K86" s="405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</row>
    <row r="87" spans="1:25" s="180" customFormat="1" x14ac:dyDescent="0.2">
      <c r="A87" s="181" t="str">
        <f>F_Inputs!B64</f>
        <v>IPD04_CO_IN_62</v>
      </c>
      <c r="B87" s="181"/>
      <c r="C87" s="181"/>
      <c r="D87" s="181"/>
      <c r="E87" s="181" t="s">
        <v>328</v>
      </c>
      <c r="F87" s="444">
        <v>3.2000000000000001E-2</v>
      </c>
      <c r="G87" s="181" t="s">
        <v>583</v>
      </c>
      <c r="H87" s="181"/>
      <c r="I87" s="181"/>
      <c r="J87" s="405"/>
      <c r="K87" s="405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</row>
    <row r="88" spans="1:25" s="180" customFormat="1" x14ac:dyDescent="0.2">
      <c r="A88" s="181" t="str">
        <f>F_Inputs!B65</f>
        <v>IPD04_CO_IN_63</v>
      </c>
      <c r="B88" s="181"/>
      <c r="C88" s="181"/>
      <c r="D88" s="181"/>
      <c r="E88" s="181" t="s">
        <v>330</v>
      </c>
      <c r="F88" s="425">
        <v>1</v>
      </c>
      <c r="G88" s="181" t="s">
        <v>584</v>
      </c>
      <c r="H88" s="181"/>
      <c r="I88" s="181"/>
      <c r="J88" s="405"/>
      <c r="K88" s="405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</row>
    <row r="89" spans="1:25" s="180" customFormat="1" x14ac:dyDescent="0.2">
      <c r="A89" s="181"/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</row>
    <row r="90" spans="1:25" s="180" customFormat="1" x14ac:dyDescent="0.2">
      <c r="A90" s="181" t="str">
        <f>F_Inputs!B66</f>
        <v>IPD04_CO_IN_64</v>
      </c>
      <c r="B90" s="181"/>
      <c r="C90" s="181"/>
      <c r="D90" s="181"/>
      <c r="E90" s="260" t="s">
        <v>332</v>
      </c>
      <c r="F90" s="95"/>
      <c r="G90" s="95" t="s">
        <v>583</v>
      </c>
      <c r="H90" s="95"/>
      <c r="I90" s="87"/>
      <c r="J90" s="192"/>
      <c r="K90" s="192"/>
      <c r="L90" s="192"/>
      <c r="M90" s="192"/>
      <c r="N90" s="192"/>
      <c r="O90" s="192"/>
      <c r="P90" s="192"/>
      <c r="Q90" s="192"/>
      <c r="R90" s="198"/>
      <c r="S90" s="198"/>
      <c r="T90" s="198"/>
      <c r="U90" s="198"/>
      <c r="V90" s="198"/>
      <c r="W90" s="198"/>
      <c r="X90" s="198"/>
      <c r="Y90" s="405"/>
    </row>
    <row r="91" spans="1:25" s="180" customFormat="1" x14ac:dyDescent="0.2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</row>
    <row r="92" spans="1:25" s="180" customFormat="1" x14ac:dyDescent="0.2">
      <c r="A92" s="181" t="str">
        <f>F_Inputs!B67</f>
        <v>IPD04_CO_IN_65</v>
      </c>
      <c r="B92" s="181"/>
      <c r="C92" s="181"/>
      <c r="D92" s="181"/>
      <c r="E92" s="154" t="s">
        <v>334</v>
      </c>
      <c r="F92" s="154"/>
      <c r="G92" s="154" t="s">
        <v>155</v>
      </c>
      <c r="H92" s="154"/>
      <c r="I92" s="181"/>
      <c r="J92" s="272">
        <v>100.3</v>
      </c>
      <c r="K92" s="272">
        <v>101.8</v>
      </c>
      <c r="L92" s="272">
        <f>F_Inputs!F67</f>
        <v>0</v>
      </c>
      <c r="M92" s="272">
        <f>F_Inputs!G67</f>
        <v>0</v>
      </c>
      <c r="N92" s="272">
        <f>F_Inputs!H67</f>
        <v>0</v>
      </c>
      <c r="O92" s="272">
        <f>F_Inputs!I67</f>
        <v>0</v>
      </c>
      <c r="P92" s="272">
        <f>F_Inputs!J67</f>
        <v>0</v>
      </c>
      <c r="Q92" s="272">
        <f>F_Inputs!K67</f>
        <v>0</v>
      </c>
      <c r="R92" s="368">
        <f>F_Inputs!L67</f>
        <v>0</v>
      </c>
      <c r="S92" s="391"/>
      <c r="T92" s="391"/>
      <c r="U92" s="391"/>
      <c r="V92" s="391"/>
      <c r="W92" s="391"/>
      <c r="X92" s="391"/>
      <c r="Y92" s="405"/>
    </row>
    <row r="93" spans="1:25" s="180" customFormat="1" x14ac:dyDescent="0.2">
      <c r="A93" s="181"/>
      <c r="B93" s="181"/>
      <c r="C93" s="181"/>
      <c r="D93" s="181"/>
      <c r="E93" s="154"/>
      <c r="F93" s="154"/>
      <c r="G93" s="154"/>
      <c r="H93" s="154"/>
      <c r="I93" s="181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81"/>
      <c r="U93" s="181"/>
      <c r="V93" s="181"/>
      <c r="W93" s="181"/>
      <c r="X93" s="181"/>
    </row>
    <row r="94" spans="1:25" s="180" customFormat="1" x14ac:dyDescent="0.2">
      <c r="A94" s="181"/>
      <c r="B94" s="181"/>
      <c r="C94" s="181"/>
      <c r="D94" s="186" t="s">
        <v>585</v>
      </c>
      <c r="E94" s="154"/>
      <c r="F94" s="154"/>
      <c r="G94" s="154"/>
      <c r="H94" s="154"/>
      <c r="I94" s="181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81"/>
      <c r="U94" s="181"/>
      <c r="V94" s="181"/>
      <c r="W94" s="181"/>
      <c r="X94" s="181"/>
    </row>
    <row r="95" spans="1:25" s="180" customFormat="1" x14ac:dyDescent="0.2">
      <c r="A95" s="181"/>
      <c r="B95" s="181"/>
      <c r="C95" s="181"/>
      <c r="D95" s="181"/>
      <c r="E95" s="154" t="s">
        <v>586</v>
      </c>
      <c r="F95" s="267">
        <v>103.2</v>
      </c>
      <c r="G95" s="109" t="s">
        <v>155</v>
      </c>
      <c r="H95" s="154"/>
      <c r="I95" s="181"/>
      <c r="J95" s="154"/>
      <c r="K95" s="405"/>
      <c r="L95" s="154"/>
      <c r="M95" s="154"/>
      <c r="N95" s="154"/>
      <c r="O95" s="154"/>
      <c r="P95" s="154"/>
      <c r="Q95" s="154"/>
      <c r="R95" s="154"/>
      <c r="S95" s="154"/>
      <c r="T95" s="181"/>
      <c r="U95" s="181"/>
      <c r="V95" s="181"/>
      <c r="W95" s="181"/>
      <c r="X95" s="181"/>
    </row>
    <row r="96" spans="1:25" s="180" customFormat="1" x14ac:dyDescent="0.2">
      <c r="A96" s="181"/>
      <c r="B96" s="181"/>
      <c r="C96" s="181"/>
      <c r="D96" s="181"/>
      <c r="E96" s="154" t="s">
        <v>587</v>
      </c>
      <c r="F96" s="267">
        <v>103.5</v>
      </c>
      <c r="G96" s="109" t="s">
        <v>155</v>
      </c>
      <c r="H96" s="154"/>
      <c r="I96" s="181"/>
      <c r="J96" s="154"/>
      <c r="K96" s="405"/>
      <c r="L96" s="154"/>
      <c r="M96" s="154"/>
      <c r="N96" s="154"/>
      <c r="O96" s="154"/>
      <c r="P96" s="154"/>
      <c r="Q96" s="154"/>
      <c r="R96" s="154"/>
      <c r="S96" s="154"/>
      <c r="T96" s="181"/>
      <c r="U96" s="181"/>
      <c r="V96" s="181"/>
      <c r="W96" s="181"/>
      <c r="X96" s="181"/>
    </row>
    <row r="97" spans="1:24" s="180" customFormat="1" x14ac:dyDescent="0.2">
      <c r="A97" s="181"/>
      <c r="B97" s="181"/>
      <c r="C97" s="181"/>
      <c r="D97" s="181"/>
      <c r="E97" s="154" t="s">
        <v>588</v>
      </c>
      <c r="F97" s="267">
        <v>103.5</v>
      </c>
      <c r="G97" s="109" t="s">
        <v>155</v>
      </c>
      <c r="H97" s="154"/>
      <c r="I97" s="181"/>
      <c r="J97" s="154"/>
      <c r="K97" s="405"/>
      <c r="L97" s="154"/>
      <c r="M97" s="154"/>
      <c r="N97" s="154"/>
      <c r="O97" s="154"/>
      <c r="P97" s="154"/>
      <c r="Q97" s="154"/>
      <c r="R97" s="154"/>
      <c r="S97" s="154"/>
      <c r="T97" s="181"/>
      <c r="U97" s="181"/>
      <c r="V97" s="181"/>
      <c r="W97" s="181"/>
      <c r="X97" s="181"/>
    </row>
    <row r="98" spans="1:24" s="180" customFormat="1" x14ac:dyDescent="0.2">
      <c r="A98" s="181"/>
      <c r="B98" s="181"/>
      <c r="C98" s="181"/>
      <c r="D98" s="181"/>
      <c r="E98" s="154" t="s">
        <v>589</v>
      </c>
      <c r="F98" s="267">
        <v>103.5</v>
      </c>
      <c r="G98" s="109" t="s">
        <v>155</v>
      </c>
      <c r="H98" s="154"/>
      <c r="I98" s="181"/>
      <c r="J98" s="154"/>
      <c r="K98" s="405"/>
      <c r="L98" s="154"/>
      <c r="M98" s="154"/>
      <c r="N98" s="154"/>
      <c r="O98" s="154"/>
      <c r="P98" s="154"/>
      <c r="Q98" s="154"/>
      <c r="R98" s="154"/>
      <c r="S98" s="154"/>
      <c r="T98" s="181"/>
      <c r="U98" s="181"/>
      <c r="V98" s="181"/>
      <c r="W98" s="181"/>
      <c r="X98" s="181"/>
    </row>
    <row r="99" spans="1:24" s="180" customFormat="1" x14ac:dyDescent="0.2">
      <c r="A99" s="181"/>
      <c r="B99" s="181"/>
      <c r="C99" s="181"/>
      <c r="D99" s="181"/>
      <c r="E99" s="154" t="s">
        <v>590</v>
      </c>
      <c r="F99" s="267">
        <v>104</v>
      </c>
      <c r="G99" s="109" t="s">
        <v>155</v>
      </c>
      <c r="H99" s="154"/>
      <c r="I99" s="181"/>
      <c r="J99" s="154"/>
      <c r="K99" s="405"/>
      <c r="L99" s="154"/>
      <c r="M99" s="154"/>
      <c r="N99" s="154"/>
      <c r="O99" s="154"/>
      <c r="P99" s="154"/>
      <c r="Q99" s="154"/>
      <c r="R99" s="154"/>
      <c r="S99" s="154"/>
      <c r="T99" s="181"/>
      <c r="U99" s="181"/>
      <c r="V99" s="181"/>
      <c r="W99" s="181"/>
      <c r="X99" s="181"/>
    </row>
    <row r="100" spans="1:24" s="180" customFormat="1" x14ac:dyDescent="0.2">
      <c r="A100" s="181"/>
      <c r="B100" s="181"/>
      <c r="C100" s="181"/>
      <c r="D100" s="181"/>
      <c r="E100" s="154" t="s">
        <v>591</v>
      </c>
      <c r="F100" s="267">
        <v>104.3</v>
      </c>
      <c r="G100" s="109" t="s">
        <v>155</v>
      </c>
      <c r="H100" s="154"/>
      <c r="I100" s="181"/>
      <c r="J100" s="154"/>
      <c r="K100" s="405"/>
      <c r="L100" s="154"/>
      <c r="M100" s="154"/>
      <c r="N100" s="154"/>
      <c r="O100" s="154"/>
      <c r="P100" s="154"/>
      <c r="Q100" s="154"/>
      <c r="R100" s="154"/>
      <c r="S100" s="154"/>
      <c r="T100" s="181"/>
      <c r="U100" s="181"/>
      <c r="V100" s="181"/>
      <c r="W100" s="181"/>
      <c r="X100" s="181"/>
    </row>
    <row r="101" spans="1:24" s="180" customFormat="1" x14ac:dyDescent="0.2">
      <c r="A101" s="181"/>
      <c r="B101" s="181"/>
      <c r="C101" s="181"/>
      <c r="D101" s="181"/>
      <c r="E101" s="154" t="s">
        <v>592</v>
      </c>
      <c r="F101" s="267">
        <v>104.4</v>
      </c>
      <c r="G101" s="109" t="s">
        <v>155</v>
      </c>
      <c r="H101" s="154"/>
      <c r="I101" s="181"/>
      <c r="J101" s="154"/>
      <c r="K101" s="405"/>
      <c r="L101" s="154"/>
      <c r="M101" s="154"/>
      <c r="N101" s="154"/>
      <c r="O101" s="154"/>
      <c r="P101" s="154"/>
      <c r="Q101" s="154"/>
      <c r="R101" s="154"/>
      <c r="S101" s="154"/>
      <c r="T101" s="181"/>
      <c r="U101" s="181"/>
      <c r="V101" s="181"/>
      <c r="W101" s="181"/>
      <c r="X101" s="181"/>
    </row>
    <row r="102" spans="1:24" s="180" customFormat="1" x14ac:dyDescent="0.2">
      <c r="A102" s="181"/>
      <c r="B102" s="181"/>
      <c r="C102" s="181"/>
      <c r="D102" s="181"/>
      <c r="E102" s="154" t="s">
        <v>593</v>
      </c>
      <c r="F102" s="267">
        <v>104.7</v>
      </c>
      <c r="G102" s="109" t="s">
        <v>155</v>
      </c>
      <c r="H102" s="154"/>
      <c r="I102" s="181"/>
      <c r="J102" s="154"/>
      <c r="K102" s="405"/>
      <c r="L102" s="154"/>
      <c r="M102" s="154"/>
      <c r="N102" s="154"/>
      <c r="O102" s="154"/>
      <c r="P102" s="154"/>
      <c r="Q102" s="154"/>
      <c r="R102" s="154"/>
      <c r="S102" s="154"/>
      <c r="T102" s="181"/>
      <c r="U102" s="181"/>
      <c r="V102" s="181"/>
      <c r="W102" s="181"/>
      <c r="X102" s="181"/>
    </row>
    <row r="103" spans="1:24" s="180" customFormat="1" x14ac:dyDescent="0.2">
      <c r="A103" s="181"/>
      <c r="B103" s="181"/>
      <c r="C103" s="181"/>
      <c r="D103" s="181"/>
      <c r="E103" s="154" t="s">
        <v>594</v>
      </c>
      <c r="F103" s="267">
        <v>105</v>
      </c>
      <c r="G103" s="109" t="s">
        <v>155</v>
      </c>
      <c r="H103" s="154"/>
      <c r="I103" s="181"/>
      <c r="J103" s="154"/>
      <c r="K103" s="405"/>
      <c r="L103" s="154"/>
      <c r="M103" s="154"/>
      <c r="N103" s="154"/>
      <c r="O103" s="154"/>
      <c r="P103" s="154"/>
      <c r="Q103" s="154"/>
      <c r="R103" s="154"/>
      <c r="S103" s="154"/>
      <c r="T103" s="181"/>
      <c r="U103" s="181"/>
      <c r="V103" s="181"/>
      <c r="W103" s="181"/>
      <c r="X103" s="181"/>
    </row>
    <row r="104" spans="1:24" s="180" customFormat="1" x14ac:dyDescent="0.2">
      <c r="A104" s="181"/>
      <c r="B104" s="181"/>
      <c r="C104" s="181"/>
      <c r="D104" s="181"/>
      <c r="E104" s="154" t="s">
        <v>595</v>
      </c>
      <c r="F104" s="267">
        <v>104.5</v>
      </c>
      <c r="G104" s="109" t="s">
        <v>155</v>
      </c>
      <c r="H104" s="154"/>
      <c r="I104" s="181"/>
      <c r="J104" s="154"/>
      <c r="K104" s="405"/>
      <c r="L104" s="154"/>
      <c r="M104" s="154"/>
      <c r="N104" s="154"/>
      <c r="O104" s="154"/>
      <c r="P104" s="154"/>
      <c r="Q104" s="154"/>
      <c r="R104" s="154"/>
      <c r="S104" s="154"/>
      <c r="T104" s="181"/>
      <c r="U104" s="181"/>
      <c r="V104" s="181"/>
      <c r="W104" s="181"/>
      <c r="X104" s="181"/>
    </row>
    <row r="105" spans="1:24" s="180" customFormat="1" x14ac:dyDescent="0.2">
      <c r="A105" s="181"/>
      <c r="B105" s="181"/>
      <c r="C105" s="181"/>
      <c r="D105" s="181"/>
      <c r="E105" s="154" t="s">
        <v>596</v>
      </c>
      <c r="F105" s="267">
        <v>104.9</v>
      </c>
      <c r="G105" s="109" t="s">
        <v>155</v>
      </c>
      <c r="H105" s="154"/>
      <c r="I105" s="181"/>
      <c r="J105" s="154"/>
      <c r="K105" s="405"/>
      <c r="L105" s="154"/>
      <c r="M105" s="154"/>
      <c r="N105" s="154"/>
      <c r="O105" s="154"/>
      <c r="P105" s="154"/>
      <c r="Q105" s="154"/>
      <c r="R105" s="154"/>
      <c r="S105" s="154"/>
      <c r="T105" s="181"/>
      <c r="U105" s="181"/>
      <c r="V105" s="181"/>
      <c r="W105" s="181"/>
      <c r="X105" s="181"/>
    </row>
    <row r="106" spans="1:24" s="180" customFormat="1" x14ac:dyDescent="0.2">
      <c r="A106" s="181"/>
      <c r="B106" s="181"/>
      <c r="C106" s="181"/>
      <c r="D106" s="181"/>
      <c r="E106" s="154" t="s">
        <v>597</v>
      </c>
      <c r="F106" s="267">
        <v>105.1</v>
      </c>
      <c r="G106" s="109" t="s">
        <v>155</v>
      </c>
      <c r="H106" s="154"/>
      <c r="I106" s="181"/>
      <c r="J106" s="154"/>
      <c r="K106" s="405"/>
      <c r="L106" s="154"/>
      <c r="M106" s="154"/>
      <c r="N106" s="154"/>
      <c r="O106" s="154"/>
      <c r="P106" s="154"/>
      <c r="Q106" s="154"/>
      <c r="R106" s="154"/>
      <c r="S106" s="154"/>
      <c r="T106" s="181"/>
      <c r="U106" s="181"/>
      <c r="V106" s="181"/>
      <c r="W106" s="181"/>
      <c r="X106" s="181"/>
    </row>
    <row r="107" spans="1:24" s="180" customFormat="1" x14ac:dyDescent="0.2">
      <c r="A107" s="181"/>
      <c r="B107" s="181"/>
      <c r="C107" s="181"/>
      <c r="D107" s="181"/>
      <c r="E107" s="154" t="s">
        <v>598</v>
      </c>
      <c r="F107" s="271">
        <f>AVERAGE(F95:F106)</f>
        <v>104.21666666666665</v>
      </c>
      <c r="G107" s="109" t="s">
        <v>155</v>
      </c>
      <c r="H107" s="154"/>
      <c r="I107" s="181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81"/>
      <c r="U107" s="181"/>
      <c r="V107" s="181"/>
      <c r="W107" s="181"/>
      <c r="X107" s="181"/>
    </row>
    <row r="108" spans="1:24" s="180" customFormat="1" x14ac:dyDescent="0.2">
      <c r="A108" s="181"/>
      <c r="B108" s="181"/>
      <c r="C108" s="181"/>
      <c r="D108" s="181"/>
      <c r="E108" s="154"/>
      <c r="F108" s="271"/>
      <c r="G108" s="109"/>
      <c r="H108" s="154"/>
      <c r="I108" s="181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81"/>
      <c r="U108" s="181"/>
      <c r="V108" s="181"/>
      <c r="W108" s="181"/>
      <c r="X108" s="181"/>
    </row>
    <row r="109" spans="1:24" s="180" customFormat="1" x14ac:dyDescent="0.2">
      <c r="A109" s="181"/>
      <c r="B109" s="181"/>
      <c r="C109" s="181"/>
      <c r="D109" s="181"/>
      <c r="E109" s="154" t="s">
        <v>599</v>
      </c>
      <c r="F109" s="267">
        <v>123.04166666666664</v>
      </c>
      <c r="G109" s="109" t="s">
        <v>155</v>
      </c>
      <c r="H109" s="154"/>
      <c r="I109" s="181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81"/>
      <c r="U109" s="181"/>
      <c r="V109" s="181"/>
      <c r="W109" s="181"/>
      <c r="X109" s="181"/>
    </row>
    <row r="110" spans="1:24" s="180" customFormat="1" x14ac:dyDescent="0.2">
      <c r="A110" s="181"/>
      <c r="B110" s="181"/>
      <c r="C110" s="181"/>
      <c r="D110" s="181"/>
      <c r="E110" s="154"/>
      <c r="F110" s="154"/>
      <c r="G110" s="154"/>
      <c r="H110" s="154"/>
      <c r="I110" s="181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81"/>
      <c r="U110" s="181"/>
      <c r="V110" s="181"/>
      <c r="W110" s="181"/>
      <c r="X110" s="181"/>
    </row>
    <row r="111" spans="1:24" s="180" customFormat="1" x14ac:dyDescent="0.2">
      <c r="A111" s="181"/>
      <c r="B111" s="185" t="s">
        <v>600</v>
      </c>
      <c r="C111" s="181"/>
      <c r="D111" s="181"/>
      <c r="E111" s="154"/>
      <c r="F111" s="154"/>
      <c r="G111" s="154"/>
      <c r="H111" s="154"/>
      <c r="I111" s="181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81"/>
      <c r="U111" s="181"/>
      <c r="V111" s="181"/>
      <c r="W111" s="181"/>
      <c r="X111" s="181"/>
    </row>
    <row r="112" spans="1:24" s="180" customFormat="1" x14ac:dyDescent="0.2">
      <c r="A112" s="181"/>
      <c r="B112" s="181"/>
      <c r="C112" s="181"/>
      <c r="D112" s="181"/>
      <c r="E112" s="154"/>
      <c r="F112" s="154"/>
      <c r="G112" s="154"/>
      <c r="H112" s="154"/>
      <c r="I112" s="181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81"/>
      <c r="U112" s="181"/>
      <c r="V112" s="181"/>
      <c r="W112" s="181"/>
      <c r="X112" s="181"/>
    </row>
    <row r="113" spans="1:25" s="180" customFormat="1" x14ac:dyDescent="0.2">
      <c r="A113" s="181"/>
      <c r="B113" s="181"/>
      <c r="C113" s="181"/>
      <c r="D113" s="186" t="s">
        <v>164</v>
      </c>
      <c r="E113" s="154"/>
      <c r="F113" s="154"/>
      <c r="G113" s="154"/>
      <c r="H113" s="154"/>
      <c r="I113" s="181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81"/>
      <c r="U113" s="181"/>
      <c r="V113" s="181"/>
      <c r="W113" s="181"/>
      <c r="X113" s="181"/>
    </row>
    <row r="114" spans="1:25" s="180" customFormat="1" x14ac:dyDescent="0.2">
      <c r="A114" s="181" t="str">
        <f>F_Inputs!B68</f>
        <v>IPD04_CO_IN_66</v>
      </c>
      <c r="B114" s="181"/>
      <c r="C114" s="181"/>
      <c r="D114" s="186"/>
      <c r="E114" s="181" t="s">
        <v>601</v>
      </c>
      <c r="F114" s="181"/>
      <c r="G114" s="181" t="s">
        <v>602</v>
      </c>
      <c r="H114" s="181"/>
      <c r="I114" s="181"/>
      <c r="J114" s="153"/>
      <c r="K114" s="153"/>
      <c r="L114" s="153"/>
      <c r="M114" s="153"/>
      <c r="N114" s="239"/>
      <c r="O114" s="153"/>
      <c r="P114" s="153"/>
      <c r="Q114" s="153"/>
      <c r="R114" s="153"/>
      <c r="S114" s="261"/>
      <c r="T114" s="153"/>
      <c r="U114" s="153"/>
      <c r="V114" s="153"/>
      <c r="W114" s="153"/>
      <c r="X114" s="153"/>
      <c r="Y114" s="405"/>
    </row>
    <row r="115" spans="1:25" s="87" customFormat="1" x14ac:dyDescent="0.2">
      <c r="A115" s="181" t="str">
        <f>F_Inputs!B69</f>
        <v>IPD04_CO_IN_67</v>
      </c>
      <c r="D115" s="191"/>
      <c r="E115" s="95" t="s">
        <v>338</v>
      </c>
      <c r="F115" s="95"/>
      <c r="G115" s="95" t="s">
        <v>584</v>
      </c>
      <c r="H115" s="95"/>
      <c r="J115" s="192"/>
      <c r="K115" s="192"/>
      <c r="L115" s="192"/>
      <c r="M115" s="192"/>
      <c r="N115" s="192"/>
      <c r="O115" s="153"/>
      <c r="P115" s="153"/>
      <c r="Q115" s="153"/>
      <c r="R115" s="153"/>
      <c r="S115" s="153"/>
      <c r="T115" s="189"/>
      <c r="U115" s="189"/>
      <c r="V115" s="189"/>
      <c r="W115" s="189"/>
      <c r="X115" s="189"/>
      <c r="Y115" s="405"/>
    </row>
    <row r="116" spans="1:25" s="180" customFormat="1" x14ac:dyDescent="0.2">
      <c r="A116" s="181"/>
      <c r="B116" s="181"/>
      <c r="C116" s="181"/>
      <c r="D116" s="186"/>
      <c r="E116" s="154"/>
      <c r="F116" s="154"/>
      <c r="G116" s="154"/>
      <c r="H116" s="154"/>
      <c r="I116" s="181"/>
      <c r="J116" s="154"/>
      <c r="K116" s="154"/>
      <c r="L116" s="154"/>
      <c r="M116" s="154"/>
      <c r="N116" s="154"/>
      <c r="O116" s="238"/>
      <c r="P116" s="238"/>
      <c r="Q116" s="238"/>
      <c r="R116" s="238"/>
      <c r="S116" s="238"/>
      <c r="T116" s="238"/>
      <c r="U116" s="238"/>
      <c r="V116" s="181"/>
      <c r="W116" s="181"/>
      <c r="X116" s="181"/>
    </row>
    <row r="117" spans="1:25" s="180" customFormat="1" x14ac:dyDescent="0.2">
      <c r="A117" s="181"/>
      <c r="B117" s="181"/>
      <c r="C117" s="181"/>
      <c r="D117" s="186" t="s">
        <v>168</v>
      </c>
      <c r="E117" s="181"/>
      <c r="F117" s="181"/>
      <c r="G117" s="181"/>
      <c r="H117" s="181"/>
      <c r="I117" s="181"/>
      <c r="J117" s="181"/>
      <c r="K117" s="181"/>
      <c r="L117" s="181"/>
      <c r="M117" s="181"/>
      <c r="N117" s="154"/>
      <c r="O117" s="238"/>
      <c r="P117" s="238"/>
      <c r="Q117" s="238"/>
      <c r="R117" s="238"/>
      <c r="S117" s="238"/>
      <c r="T117" s="238"/>
      <c r="U117" s="238"/>
      <c r="V117" s="181"/>
      <c r="W117" s="181"/>
      <c r="X117" s="181"/>
    </row>
    <row r="118" spans="1:25" s="180" customFormat="1" x14ac:dyDescent="0.2">
      <c r="A118" s="181" t="str">
        <f>F_Inputs!B70</f>
        <v>IPD04_CO_IN_68</v>
      </c>
      <c r="B118" s="181"/>
      <c r="C118" s="181"/>
      <c r="D118" s="186"/>
      <c r="E118" s="181" t="s">
        <v>603</v>
      </c>
      <c r="F118" s="181"/>
      <c r="G118" s="181" t="s">
        <v>602</v>
      </c>
      <c r="H118" s="181"/>
      <c r="I118" s="181"/>
      <c r="J118" s="153"/>
      <c r="K118" s="153"/>
      <c r="L118" s="153"/>
      <c r="M118" s="153"/>
      <c r="N118" s="239"/>
      <c r="O118" s="239"/>
      <c r="P118" s="239"/>
      <c r="Q118" s="239"/>
      <c r="R118" s="239"/>
      <c r="S118" s="261"/>
      <c r="T118" s="239"/>
      <c r="U118" s="239"/>
      <c r="V118" s="153"/>
      <c r="W118" s="153"/>
      <c r="X118" s="153"/>
      <c r="Y118" s="405"/>
    </row>
    <row r="119" spans="1:25" s="87" customFormat="1" x14ac:dyDescent="0.2">
      <c r="A119" s="181" t="str">
        <f>F_Inputs!B71</f>
        <v>IPD04_CO_IN_69</v>
      </c>
      <c r="D119" s="191"/>
      <c r="E119" s="95" t="s">
        <v>342</v>
      </c>
      <c r="F119" s="95"/>
      <c r="G119" s="95" t="s">
        <v>584</v>
      </c>
      <c r="H119" s="95"/>
      <c r="J119" s="192"/>
      <c r="K119" s="192"/>
      <c r="L119" s="192"/>
      <c r="M119" s="192"/>
      <c r="N119" s="192"/>
      <c r="O119" s="153"/>
      <c r="P119" s="153"/>
      <c r="Q119" s="153"/>
      <c r="R119" s="153"/>
      <c r="S119" s="153"/>
      <c r="T119" s="189"/>
      <c r="U119" s="189"/>
      <c r="V119" s="189"/>
      <c r="W119" s="189"/>
      <c r="X119" s="189"/>
      <c r="Y119" s="405"/>
    </row>
    <row r="120" spans="1:25" s="180" customFormat="1" x14ac:dyDescent="0.2">
      <c r="A120" s="181"/>
      <c r="B120" s="181"/>
      <c r="C120" s="181"/>
      <c r="D120" s="186"/>
      <c r="E120" s="181"/>
      <c r="F120" s="181"/>
      <c r="G120" s="181"/>
      <c r="H120" s="181"/>
      <c r="I120" s="181"/>
      <c r="J120" s="181"/>
      <c r="K120" s="181"/>
      <c r="L120" s="181"/>
      <c r="M120" s="181"/>
      <c r="N120" s="154"/>
      <c r="O120" s="238"/>
      <c r="P120" s="238"/>
      <c r="Q120" s="238"/>
      <c r="R120" s="238"/>
      <c r="S120" s="238"/>
      <c r="T120" s="238"/>
      <c r="U120" s="238"/>
      <c r="V120" s="181"/>
      <c r="W120" s="181"/>
      <c r="X120" s="181"/>
    </row>
    <row r="121" spans="1:25" s="180" customFormat="1" x14ac:dyDescent="0.2">
      <c r="A121" s="181"/>
      <c r="B121" s="181"/>
      <c r="C121" s="181"/>
      <c r="D121" s="186" t="s">
        <v>171</v>
      </c>
      <c r="E121" s="181"/>
      <c r="F121" s="181"/>
      <c r="G121" s="181"/>
      <c r="H121" s="181"/>
      <c r="I121" s="181"/>
      <c r="J121" s="181"/>
      <c r="K121" s="181"/>
      <c r="L121" s="181"/>
      <c r="M121" s="181"/>
      <c r="N121" s="154"/>
      <c r="O121" s="238"/>
      <c r="P121" s="238"/>
      <c r="Q121" s="238"/>
      <c r="R121" s="238"/>
      <c r="S121" s="238"/>
      <c r="T121" s="238"/>
      <c r="U121" s="238"/>
      <c r="V121" s="181"/>
      <c r="W121" s="181"/>
      <c r="X121" s="181"/>
    </row>
    <row r="122" spans="1:25" s="180" customFormat="1" x14ac:dyDescent="0.2">
      <c r="A122" s="181" t="str">
        <f>F_Inputs!B72</f>
        <v>IPD04_CO_IN_70</v>
      </c>
      <c r="B122" s="181"/>
      <c r="C122" s="181"/>
      <c r="D122" s="186"/>
      <c r="E122" s="181" t="s">
        <v>604</v>
      </c>
      <c r="F122" s="181"/>
      <c r="G122" s="181" t="s">
        <v>602</v>
      </c>
      <c r="H122" s="181"/>
      <c r="I122" s="181"/>
      <c r="J122" s="153"/>
      <c r="K122" s="153"/>
      <c r="L122" s="153"/>
      <c r="M122" s="153"/>
      <c r="N122" s="239"/>
      <c r="O122" s="239"/>
      <c r="P122" s="239"/>
      <c r="Q122" s="239"/>
      <c r="R122" s="239"/>
      <c r="S122" s="261"/>
      <c r="T122" s="239"/>
      <c r="U122" s="239"/>
      <c r="V122" s="153"/>
      <c r="W122" s="153"/>
      <c r="X122" s="153"/>
      <c r="Y122" s="405"/>
    </row>
    <row r="123" spans="1:25" s="87" customFormat="1" x14ac:dyDescent="0.2">
      <c r="A123" s="181" t="str">
        <f>F_Inputs!B73</f>
        <v>IPD04_CO_IN_71</v>
      </c>
      <c r="D123" s="191"/>
      <c r="E123" s="95" t="s">
        <v>346</v>
      </c>
      <c r="F123" s="95"/>
      <c r="G123" s="95" t="s">
        <v>584</v>
      </c>
      <c r="H123" s="95"/>
      <c r="J123" s="192"/>
      <c r="K123" s="192"/>
      <c r="L123" s="192"/>
      <c r="M123" s="192"/>
      <c r="N123" s="192"/>
      <c r="O123" s="153"/>
      <c r="P123" s="153"/>
      <c r="Q123" s="153"/>
      <c r="R123" s="153"/>
      <c r="S123" s="153"/>
      <c r="T123" s="189"/>
      <c r="U123" s="261"/>
      <c r="V123" s="261"/>
      <c r="W123" s="261"/>
      <c r="X123" s="261"/>
      <c r="Y123" s="405"/>
    </row>
    <row r="124" spans="1:25" s="180" customFormat="1" x14ac:dyDescent="0.2">
      <c r="A124" s="181"/>
      <c r="B124" s="181"/>
      <c r="C124" s="181"/>
      <c r="D124" s="186"/>
      <c r="E124" s="181"/>
      <c r="F124" s="181"/>
      <c r="G124" s="181"/>
      <c r="H124" s="181"/>
      <c r="I124" s="181"/>
      <c r="J124" s="181"/>
      <c r="K124" s="181"/>
      <c r="L124" s="181"/>
      <c r="M124" s="181"/>
      <c r="N124" s="154"/>
      <c r="O124" s="238"/>
      <c r="P124" s="238"/>
      <c r="Q124" s="238"/>
      <c r="R124" s="238"/>
      <c r="S124" s="238"/>
      <c r="T124" s="238"/>
      <c r="U124" s="238"/>
      <c r="V124" s="181"/>
      <c r="W124" s="181"/>
      <c r="X124" s="181"/>
    </row>
    <row r="125" spans="1:25" s="180" customFormat="1" x14ac:dyDescent="0.2">
      <c r="A125" s="181"/>
      <c r="B125" s="181"/>
      <c r="C125" s="181"/>
      <c r="D125" s="186" t="s">
        <v>177</v>
      </c>
      <c r="E125" s="181"/>
      <c r="F125" s="181"/>
      <c r="G125" s="181"/>
      <c r="H125" s="181"/>
      <c r="I125" s="181"/>
      <c r="J125" s="181"/>
      <c r="K125" s="181"/>
      <c r="L125" s="181"/>
      <c r="M125" s="181"/>
      <c r="N125" s="154"/>
      <c r="O125" s="238"/>
      <c r="P125" s="238"/>
      <c r="Q125" s="238"/>
      <c r="R125" s="238"/>
      <c r="S125" s="238"/>
      <c r="T125" s="238"/>
      <c r="U125" s="238"/>
      <c r="V125" s="181"/>
      <c r="W125" s="181"/>
      <c r="X125" s="181"/>
    </row>
    <row r="126" spans="1:25" s="180" customFormat="1" x14ac:dyDescent="0.2">
      <c r="A126" s="181" t="str">
        <f>F_Inputs!B74</f>
        <v>IPD04_CO_IN_72</v>
      </c>
      <c r="B126" s="181"/>
      <c r="C126" s="181"/>
      <c r="D126" s="186"/>
      <c r="E126" s="154" t="s">
        <v>605</v>
      </c>
      <c r="F126" s="154"/>
      <c r="G126" s="154" t="s">
        <v>606</v>
      </c>
      <c r="H126" s="154"/>
      <c r="I126" s="181"/>
      <c r="J126" s="153"/>
      <c r="K126" s="153"/>
      <c r="L126" s="153"/>
      <c r="M126" s="153"/>
      <c r="N126" s="153"/>
      <c r="O126" s="239"/>
      <c r="P126" s="239"/>
      <c r="Q126" s="239"/>
      <c r="R126" s="239"/>
      <c r="S126" s="239"/>
      <c r="T126" s="261"/>
      <c r="U126" s="261"/>
      <c r="V126" s="261"/>
      <c r="W126" s="261"/>
      <c r="X126" s="261"/>
      <c r="Y126" s="405"/>
    </row>
    <row r="127" spans="1:25" s="180" customFormat="1" x14ac:dyDescent="0.2">
      <c r="A127" s="181"/>
      <c r="B127" s="181"/>
      <c r="C127" s="181"/>
      <c r="D127" s="186"/>
      <c r="E127" s="181"/>
      <c r="F127" s="181"/>
      <c r="G127" s="181"/>
      <c r="H127" s="181"/>
      <c r="I127" s="181"/>
      <c r="J127" s="181"/>
      <c r="K127" s="181"/>
      <c r="L127" s="181"/>
      <c r="M127" s="181"/>
      <c r="N127" s="154"/>
      <c r="O127" s="388"/>
      <c r="P127" s="388"/>
      <c r="Q127" s="388"/>
      <c r="R127" s="388"/>
      <c r="S127" s="388"/>
      <c r="T127" s="388"/>
      <c r="U127" s="388"/>
      <c r="V127" s="181"/>
      <c r="W127" s="181"/>
      <c r="X127" s="181"/>
    </row>
    <row r="128" spans="1:25" s="180" customFormat="1" x14ac:dyDescent="0.2">
      <c r="A128" s="181"/>
      <c r="B128" s="181"/>
      <c r="C128" s="181"/>
      <c r="D128" s="186" t="s">
        <v>173</v>
      </c>
      <c r="E128" s="181"/>
      <c r="F128" s="181"/>
      <c r="G128" s="181"/>
      <c r="H128" s="181"/>
      <c r="I128" s="181"/>
      <c r="J128" s="181"/>
      <c r="K128" s="181"/>
      <c r="L128" s="181"/>
      <c r="M128" s="181"/>
      <c r="N128" s="154"/>
      <c r="O128" s="238"/>
      <c r="P128" s="238"/>
      <c r="Q128" s="238"/>
      <c r="R128" s="238"/>
      <c r="S128" s="238"/>
      <c r="T128" s="238"/>
      <c r="U128" s="238"/>
      <c r="V128" s="181"/>
      <c r="W128" s="181"/>
      <c r="X128" s="181"/>
    </row>
    <row r="129" spans="1:25" s="180" customFormat="1" x14ac:dyDescent="0.2">
      <c r="A129" s="319" t="str">
        <f>F_Inputs!B75</f>
        <v>IPD04_CO_IN_94</v>
      </c>
      <c r="B129" s="181"/>
      <c r="C129" s="181"/>
      <c r="D129" s="186"/>
      <c r="E129" s="154" t="s">
        <v>349</v>
      </c>
      <c r="F129" s="154"/>
      <c r="G129" s="154" t="s">
        <v>607</v>
      </c>
      <c r="H129" s="154"/>
      <c r="I129" s="181"/>
      <c r="J129" s="153"/>
      <c r="K129" s="153"/>
      <c r="L129" s="153"/>
      <c r="M129" s="153"/>
      <c r="N129" s="153"/>
      <c r="O129" s="239"/>
      <c r="P129" s="239"/>
      <c r="Q129" s="239"/>
      <c r="R129" s="239"/>
      <c r="S129" s="239"/>
      <c r="T129" s="261"/>
      <c r="U129" s="261"/>
      <c r="V129" s="261"/>
      <c r="W129" s="261"/>
      <c r="X129" s="261"/>
      <c r="Y129" s="405"/>
    </row>
    <row r="130" spans="1:25" s="180" customFormat="1" x14ac:dyDescent="0.2">
      <c r="A130" s="319" t="str">
        <f>F_Inputs!B76</f>
        <v>IPD04_CO_IN_95</v>
      </c>
      <c r="B130" s="181"/>
      <c r="C130" s="181"/>
      <c r="D130" s="186"/>
      <c r="E130" s="154" t="s">
        <v>307</v>
      </c>
      <c r="F130" s="154"/>
      <c r="G130" s="154" t="s">
        <v>308</v>
      </c>
      <c r="H130" s="154"/>
      <c r="I130" s="181"/>
      <c r="J130" s="153"/>
      <c r="K130" s="153"/>
      <c r="L130" s="153"/>
      <c r="M130" s="153"/>
      <c r="N130" s="153"/>
      <c r="O130" s="239"/>
      <c r="P130" s="239"/>
      <c r="Q130" s="239"/>
      <c r="R130" s="239"/>
      <c r="S130" s="239"/>
      <c r="T130" s="261"/>
      <c r="U130" s="261"/>
      <c r="V130" s="261"/>
      <c r="W130" s="261"/>
      <c r="X130" s="261"/>
      <c r="Y130" s="405"/>
    </row>
    <row r="131" spans="1:25" s="180" customFormat="1" x14ac:dyDescent="0.2">
      <c r="A131" s="181"/>
      <c r="B131" s="181"/>
      <c r="C131" s="181"/>
      <c r="D131" s="186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1"/>
      <c r="X131" s="181"/>
    </row>
    <row r="132" spans="1:25" s="180" customFormat="1" x14ac:dyDescent="0.2">
      <c r="A132" s="181"/>
      <c r="B132" s="181"/>
      <c r="C132" s="181"/>
      <c r="D132" s="155" t="s">
        <v>175</v>
      </c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</row>
    <row r="133" spans="1:25" s="180" customFormat="1" x14ac:dyDescent="0.2">
      <c r="A133" s="319" t="str">
        <f>F_Inputs!B77</f>
        <v>IPD04_CO_IN_96</v>
      </c>
      <c r="B133" s="181"/>
      <c r="C133" s="181"/>
      <c r="D133" s="186"/>
      <c r="E133" s="181" t="s">
        <v>314</v>
      </c>
      <c r="F133" s="154"/>
      <c r="G133" s="181" t="s">
        <v>233</v>
      </c>
      <c r="H133" s="154"/>
      <c r="I133" s="181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447"/>
      <c r="U133" s="447"/>
      <c r="V133" s="447"/>
      <c r="W133" s="447"/>
      <c r="X133" s="447"/>
    </row>
    <row r="134" spans="1:25" s="180" customFormat="1" x14ac:dyDescent="0.2">
      <c r="A134" s="319" t="str">
        <f>F_Inputs!B78</f>
        <v>IPD04_CO_IN_97</v>
      </c>
      <c r="B134" s="181"/>
      <c r="C134" s="181"/>
      <c r="D134" s="186"/>
      <c r="E134" s="181" t="s">
        <v>316</v>
      </c>
      <c r="F134" s="154"/>
      <c r="G134" s="181" t="s">
        <v>233</v>
      </c>
      <c r="H134" s="154"/>
      <c r="I134" s="181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447"/>
      <c r="U134" s="447"/>
      <c r="V134" s="447"/>
      <c r="W134" s="447"/>
      <c r="X134" s="447"/>
    </row>
    <row r="135" spans="1:25" s="180" customFormat="1" x14ac:dyDescent="0.2">
      <c r="A135" s="181"/>
      <c r="B135" s="181"/>
      <c r="C135" s="181"/>
      <c r="D135" s="186"/>
      <c r="E135" s="181"/>
      <c r="F135" s="154"/>
      <c r="G135" s="181"/>
      <c r="H135" s="154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</row>
    <row r="136" spans="1:25" s="180" customFormat="1" x14ac:dyDescent="0.2">
      <c r="A136" s="319" t="str">
        <f>F_Inputs!B79</f>
        <v>IPD04_CO_IN_98</v>
      </c>
      <c r="B136" s="181"/>
      <c r="C136" s="181"/>
      <c r="D136" s="186"/>
      <c r="E136" s="181" t="s">
        <v>318</v>
      </c>
      <c r="F136" s="154"/>
      <c r="G136" s="416" t="s">
        <v>308</v>
      </c>
      <c r="H136" s="154"/>
      <c r="I136" s="181"/>
      <c r="J136" s="153"/>
      <c r="K136" s="153"/>
      <c r="L136" s="153"/>
      <c r="M136" s="153"/>
      <c r="N136" s="153"/>
      <c r="O136" s="239"/>
      <c r="P136" s="239"/>
      <c r="Q136" s="239"/>
      <c r="R136" s="239"/>
      <c r="S136" s="239"/>
      <c r="T136" s="261"/>
      <c r="U136" s="261"/>
      <c r="V136" s="261"/>
      <c r="W136" s="261"/>
      <c r="X136" s="261"/>
    </row>
    <row r="137" spans="1:25" s="180" customFormat="1" x14ac:dyDescent="0.2">
      <c r="A137" s="319" t="str">
        <f>F_Inputs!B80</f>
        <v>IPD04_CO_IN_99</v>
      </c>
      <c r="B137" s="181"/>
      <c r="C137" s="181"/>
      <c r="D137" s="186"/>
      <c r="E137" s="181" t="s">
        <v>320</v>
      </c>
      <c r="F137" s="154"/>
      <c r="G137" s="416" t="s">
        <v>308</v>
      </c>
      <c r="H137" s="154"/>
      <c r="I137" s="181"/>
      <c r="J137" s="153"/>
      <c r="K137" s="153"/>
      <c r="L137" s="153"/>
      <c r="M137" s="153"/>
      <c r="N137" s="153"/>
      <c r="O137" s="239"/>
      <c r="P137" s="239"/>
      <c r="Q137" s="239"/>
      <c r="R137" s="239"/>
      <c r="S137" s="239"/>
      <c r="T137" s="261"/>
      <c r="U137" s="261"/>
      <c r="V137" s="261"/>
      <c r="W137" s="261"/>
      <c r="X137" s="261"/>
    </row>
    <row r="138" spans="1:25" s="181" customFormat="1" x14ac:dyDescent="0.2">
      <c r="D138" s="186"/>
      <c r="F138" s="154"/>
      <c r="H138" s="154"/>
    </row>
    <row r="139" spans="1:25" s="180" customFormat="1" x14ac:dyDescent="0.2">
      <c r="A139" s="319" t="str">
        <f>F_Inputs!B81</f>
        <v>IPD04_CO_IN_100</v>
      </c>
      <c r="B139" s="181"/>
      <c r="C139" s="181"/>
      <c r="D139" s="186"/>
      <c r="E139" s="181" t="s">
        <v>310</v>
      </c>
      <c r="F139" s="154"/>
      <c r="G139" s="181" t="s">
        <v>303</v>
      </c>
      <c r="H139" s="154"/>
      <c r="I139" s="181"/>
      <c r="J139" s="153"/>
      <c r="K139" s="153"/>
      <c r="L139" s="153"/>
      <c r="M139" s="153"/>
      <c r="N139" s="153"/>
      <c r="O139" s="239"/>
      <c r="P139" s="239"/>
      <c r="Q139" s="239"/>
      <c r="R139" s="239"/>
      <c r="S139" s="239"/>
      <c r="T139" s="261"/>
      <c r="U139" s="261"/>
      <c r="V139" s="261"/>
      <c r="W139" s="261"/>
      <c r="X139" s="261"/>
    </row>
    <row r="140" spans="1:25" s="180" customFormat="1" x14ac:dyDescent="0.2">
      <c r="A140" s="319" t="str">
        <f>F_Inputs!B82</f>
        <v>IPD04_CO_IN_101</v>
      </c>
      <c r="B140" s="181"/>
      <c r="C140" s="181"/>
      <c r="D140" s="186"/>
      <c r="E140" s="181" t="s">
        <v>312</v>
      </c>
      <c r="F140" s="154"/>
      <c r="G140" s="181" t="s">
        <v>303</v>
      </c>
      <c r="H140" s="154"/>
      <c r="I140" s="181"/>
      <c r="J140" s="153"/>
      <c r="K140" s="153"/>
      <c r="L140" s="153"/>
      <c r="M140" s="153"/>
      <c r="N140" s="153"/>
      <c r="O140" s="239"/>
      <c r="P140" s="239"/>
      <c r="Q140" s="239"/>
      <c r="R140" s="239"/>
      <c r="S140" s="239"/>
      <c r="T140" s="261"/>
      <c r="U140" s="261"/>
      <c r="V140" s="261"/>
      <c r="W140" s="261"/>
      <c r="X140" s="261"/>
    </row>
    <row r="141" spans="1:25" s="180" customFormat="1" x14ac:dyDescent="0.2">
      <c r="A141" s="181"/>
      <c r="B141" s="181"/>
      <c r="C141" s="181"/>
      <c r="D141" s="186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</row>
    <row r="142" spans="1:25" s="180" customFormat="1" x14ac:dyDescent="0.2">
      <c r="A142" s="181"/>
      <c r="B142" s="181"/>
      <c r="C142" s="181"/>
      <c r="D142" s="186" t="s">
        <v>179</v>
      </c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</row>
    <row r="143" spans="1:25" s="180" customFormat="1" x14ac:dyDescent="0.2">
      <c r="A143" s="181" t="str">
        <f>F_Inputs!B83</f>
        <v>IPD04_CO_IN_92</v>
      </c>
      <c r="B143" s="181"/>
      <c r="C143" s="181"/>
      <c r="D143" s="186"/>
      <c r="E143" s="181" t="s">
        <v>608</v>
      </c>
      <c r="F143" s="181"/>
      <c r="G143" s="181" t="s">
        <v>602</v>
      </c>
      <c r="H143" s="181"/>
      <c r="I143" s="181"/>
      <c r="J143" s="153"/>
      <c r="K143" s="153"/>
      <c r="L143" s="153"/>
      <c r="M143" s="153"/>
      <c r="N143" s="153"/>
      <c r="O143" s="153"/>
      <c r="P143" s="153"/>
      <c r="Q143" s="153"/>
      <c r="R143" s="153"/>
      <c r="S143" s="261"/>
      <c r="T143" s="153"/>
      <c r="U143" s="153"/>
      <c r="V143" s="153"/>
      <c r="W143" s="153"/>
      <c r="X143" s="153"/>
      <c r="Y143" s="405"/>
    </row>
    <row r="144" spans="1:25" s="87" customFormat="1" x14ac:dyDescent="0.2">
      <c r="A144" s="181" t="str">
        <f>F_Inputs!B84</f>
        <v>IPD04_CO_IN_93</v>
      </c>
      <c r="D144" s="191"/>
      <c r="E144" s="95" t="s">
        <v>359</v>
      </c>
      <c r="F144" s="95"/>
      <c r="G144" s="95" t="s">
        <v>584</v>
      </c>
      <c r="H144" s="95"/>
      <c r="J144" s="192"/>
      <c r="K144" s="192"/>
      <c r="L144" s="192"/>
      <c r="M144" s="192"/>
      <c r="N144" s="192"/>
      <c r="O144" s="153"/>
      <c r="P144" s="153"/>
      <c r="Q144" s="153"/>
      <c r="R144" s="153"/>
      <c r="S144" s="153"/>
      <c r="T144" s="189"/>
      <c r="U144" s="189"/>
      <c r="V144" s="189"/>
      <c r="W144" s="189"/>
      <c r="X144" s="189"/>
      <c r="Y144" s="405"/>
    </row>
    <row r="145" spans="1:25" s="87" customFormat="1" x14ac:dyDescent="0.2">
      <c r="A145" s="181"/>
      <c r="D145" s="191"/>
      <c r="E145" s="95"/>
      <c r="F145" s="95"/>
      <c r="G145" s="95"/>
      <c r="H145" s="95"/>
      <c r="J145" s="95"/>
      <c r="K145" s="95"/>
      <c r="L145" s="95"/>
      <c r="M145" s="95"/>
      <c r="N145" s="95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405"/>
    </row>
    <row r="146" spans="1:25" s="87" customFormat="1" x14ac:dyDescent="0.2">
      <c r="A146" s="181"/>
      <c r="B146" s="181"/>
      <c r="C146" s="181"/>
      <c r="D146" s="186" t="s">
        <v>181</v>
      </c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  <c r="Y146" s="405"/>
    </row>
    <row r="147" spans="1:25" s="87" customFormat="1" x14ac:dyDescent="0.2">
      <c r="A147" s="178" t="str">
        <f>F_Inputs!B85</f>
        <v>IPD04_CO_IN_92a</v>
      </c>
      <c r="B147" s="181"/>
      <c r="C147" s="181"/>
      <c r="D147" s="186"/>
      <c r="E147" s="181" t="s">
        <v>609</v>
      </c>
      <c r="F147" s="181"/>
      <c r="G147" s="181" t="s">
        <v>602</v>
      </c>
      <c r="H147" s="181"/>
      <c r="I147" s="181"/>
      <c r="J147" s="153"/>
      <c r="K147" s="153"/>
      <c r="L147" s="153"/>
      <c r="M147" s="153"/>
      <c r="N147" s="153"/>
      <c r="O147" s="153"/>
      <c r="P147" s="153"/>
      <c r="Q147" s="153"/>
      <c r="R147" s="153"/>
      <c r="S147" s="261"/>
      <c r="T147" s="153"/>
      <c r="U147" s="153"/>
      <c r="V147" s="153"/>
      <c r="W147" s="153"/>
      <c r="X147" s="153"/>
      <c r="Y147" s="405"/>
    </row>
    <row r="148" spans="1:25" s="87" customFormat="1" x14ac:dyDescent="0.2">
      <c r="A148" s="178" t="str">
        <f>F_Inputs!B86</f>
        <v>IPD04_CO_IN_93a</v>
      </c>
      <c r="D148" s="191"/>
      <c r="E148" s="95" t="s">
        <v>362</v>
      </c>
      <c r="F148" s="95"/>
      <c r="G148" s="95" t="s">
        <v>584</v>
      </c>
      <c r="H148" s="95"/>
      <c r="J148" s="192"/>
      <c r="K148" s="192"/>
      <c r="L148" s="192"/>
      <c r="M148" s="192"/>
      <c r="N148" s="192"/>
      <c r="O148" s="153"/>
      <c r="P148" s="153"/>
      <c r="Q148" s="153"/>
      <c r="R148" s="153"/>
      <c r="S148" s="153"/>
      <c r="T148" s="189"/>
      <c r="U148" s="189"/>
      <c r="V148" s="189"/>
      <c r="W148" s="189"/>
      <c r="X148" s="189"/>
      <c r="Y148" s="405"/>
    </row>
    <row r="149" spans="1:25" s="180" customFormat="1" x14ac:dyDescent="0.2">
      <c r="A149" s="181"/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</row>
    <row r="150" spans="1:25" s="401" customFormat="1" ht="13.5" x14ac:dyDescent="0.25">
      <c r="A150" s="209" t="s">
        <v>148</v>
      </c>
      <c r="B150" s="209"/>
      <c r="C150" s="209"/>
      <c r="D150" s="209"/>
      <c r="E150" s="209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</row>
    <row r="151" spans="1:25" s="180" customFormat="1" x14ac:dyDescent="0.2">
      <c r="A151" s="181"/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</row>
    <row r="152" spans="1:25" s="180" customFormat="1" x14ac:dyDescent="0.2">
      <c r="A152" s="181"/>
      <c r="B152" s="181"/>
      <c r="C152" s="181"/>
      <c r="D152" s="181"/>
      <c r="E152" s="154" t="s">
        <v>610</v>
      </c>
      <c r="F152" s="268">
        <v>42095</v>
      </c>
      <c r="G152" s="154" t="s">
        <v>611</v>
      </c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1"/>
      <c r="U152" s="181"/>
      <c r="V152" s="181"/>
      <c r="W152" s="181"/>
      <c r="X152" s="181"/>
    </row>
    <row r="153" spans="1:25" s="180" customFormat="1" x14ac:dyDescent="0.2">
      <c r="A153" s="181"/>
      <c r="B153" s="181"/>
      <c r="C153" s="181"/>
      <c r="D153" s="181"/>
      <c r="E153" s="154"/>
      <c r="F153" s="154"/>
      <c r="G153" s="154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  <c r="S153" s="181"/>
      <c r="T153" s="181"/>
      <c r="U153" s="181"/>
      <c r="V153" s="181"/>
      <c r="W153" s="181"/>
      <c r="X153" s="181"/>
    </row>
    <row r="154" spans="1:25" s="180" customFormat="1" x14ac:dyDescent="0.2">
      <c r="A154" s="181"/>
      <c r="B154" s="181"/>
      <c r="C154" s="181"/>
      <c r="D154" s="181"/>
      <c r="E154" s="154" t="s">
        <v>612</v>
      </c>
      <c r="F154" s="268">
        <v>45747</v>
      </c>
      <c r="G154" s="154" t="s">
        <v>611</v>
      </c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T154" s="181"/>
      <c r="U154" s="181"/>
      <c r="V154" s="181"/>
      <c r="W154" s="181"/>
      <c r="X154" s="181"/>
    </row>
    <row r="155" spans="1:25" s="180" customFormat="1" x14ac:dyDescent="0.2">
      <c r="A155" s="181"/>
      <c r="B155" s="181"/>
      <c r="C155" s="181"/>
      <c r="D155" s="181"/>
      <c r="E155" s="154"/>
      <c r="F155" s="154"/>
      <c r="G155" s="154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T155" s="181"/>
      <c r="U155" s="181"/>
      <c r="V155" s="181"/>
      <c r="W155" s="181"/>
      <c r="X155" s="181"/>
    </row>
    <row r="156" spans="1:25" s="180" customFormat="1" x14ac:dyDescent="0.2">
      <c r="A156" s="181"/>
      <c r="B156" s="181"/>
      <c r="C156" s="181"/>
      <c r="D156" s="181"/>
      <c r="E156" s="154" t="s">
        <v>613</v>
      </c>
      <c r="F156" s="268">
        <v>45747</v>
      </c>
      <c r="G156" s="154" t="s">
        <v>611</v>
      </c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T156" s="181"/>
      <c r="U156" s="181"/>
      <c r="V156" s="181"/>
      <c r="W156" s="181"/>
      <c r="X156" s="181"/>
    </row>
    <row r="157" spans="1:25" s="180" customFormat="1" x14ac:dyDescent="0.2">
      <c r="A157" s="181"/>
      <c r="B157" s="181"/>
      <c r="C157" s="181"/>
      <c r="D157" s="181"/>
      <c r="E157" s="154" t="s">
        <v>614</v>
      </c>
      <c r="F157" s="269">
        <v>5</v>
      </c>
      <c r="G157" s="181" t="s">
        <v>615</v>
      </c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</row>
    <row r="158" spans="1:25" s="180" customFormat="1" x14ac:dyDescent="0.2">
      <c r="A158" s="181"/>
      <c r="B158" s="181"/>
      <c r="C158" s="181"/>
      <c r="D158" s="181"/>
      <c r="E158" s="154" t="s">
        <v>616</v>
      </c>
      <c r="F158" s="193">
        <f>DATE(YEAR(F156)+F157,MONTH(F156),DAY(F156))</f>
        <v>47573</v>
      </c>
      <c r="G158" s="154" t="s">
        <v>611</v>
      </c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1"/>
      <c r="U158" s="181"/>
      <c r="V158" s="181"/>
      <c r="W158" s="181"/>
      <c r="X158" s="181"/>
    </row>
    <row r="159" spans="1:25" s="180" customFormat="1" x14ac:dyDescent="0.2">
      <c r="A159" s="181"/>
      <c r="B159" s="181"/>
      <c r="C159" s="181"/>
      <c r="D159" s="181"/>
      <c r="E159" s="154"/>
      <c r="F159" s="193"/>
      <c r="G159" s="154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  <c r="S159" s="181"/>
      <c r="T159" s="181"/>
      <c r="U159" s="181"/>
      <c r="V159" s="181"/>
      <c r="W159" s="181"/>
      <c r="X159" s="181"/>
    </row>
    <row r="160" spans="1:25" s="180" customFormat="1" x14ac:dyDescent="0.2">
      <c r="A160" s="181"/>
      <c r="B160" s="181"/>
      <c r="C160" s="181"/>
      <c r="D160" s="181"/>
      <c r="E160" s="154" t="s">
        <v>617</v>
      </c>
      <c r="F160" s="268">
        <v>46112</v>
      </c>
      <c r="G160" s="154" t="s">
        <v>611</v>
      </c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1"/>
      <c r="U160" s="181"/>
      <c r="V160" s="181"/>
      <c r="W160" s="181"/>
      <c r="X160" s="181"/>
    </row>
    <row r="161" spans="1:24" s="180" customFormat="1" x14ac:dyDescent="0.2">
      <c r="A161" s="181"/>
      <c r="B161" s="181"/>
      <c r="C161" s="181"/>
      <c r="D161" s="181"/>
      <c r="E161" s="154" t="s">
        <v>618</v>
      </c>
      <c r="F161" s="268">
        <v>47573</v>
      </c>
      <c r="G161" s="154" t="s">
        <v>611</v>
      </c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</row>
    <row r="162" spans="1:24" s="180" customFormat="1" x14ac:dyDescent="0.2">
      <c r="A162" s="181"/>
      <c r="B162" s="181"/>
      <c r="C162" s="181"/>
      <c r="D162" s="181"/>
      <c r="E162" s="154" t="s">
        <v>619</v>
      </c>
      <c r="F162" s="269">
        <v>2016</v>
      </c>
      <c r="G162" s="154" t="s">
        <v>620</v>
      </c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1"/>
      <c r="U162" s="181"/>
      <c r="V162" s="181"/>
    </row>
    <row r="163" spans="1:24" s="180" customFormat="1" x14ac:dyDescent="0.2">
      <c r="A163" s="181"/>
      <c r="B163" s="181"/>
      <c r="C163" s="181"/>
      <c r="D163" s="181"/>
      <c r="E163" s="154" t="s">
        <v>621</v>
      </c>
      <c r="F163" s="269">
        <v>3</v>
      </c>
      <c r="G163" s="154" t="s">
        <v>622</v>
      </c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  <c r="S163" s="181"/>
      <c r="T163" s="181"/>
      <c r="U163" s="181"/>
      <c r="V163" s="181"/>
    </row>
    <row r="164" spans="1:24" s="180" customFormat="1" x14ac:dyDescent="0.2">
      <c r="A164" s="181"/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</row>
    <row r="165" spans="1:24" s="402" customFormat="1" ht="13.5" x14ac:dyDescent="0.25">
      <c r="A165" s="208" t="s">
        <v>134</v>
      </c>
      <c r="B165" s="208"/>
      <c r="C165" s="208"/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</row>
    <row r="166" spans="1:24" x14ac:dyDescent="0.2"/>
    <row r="167" spans="1:24" x14ac:dyDescent="0.2"/>
    <row r="168" spans="1:24" x14ac:dyDescent="0.2"/>
    <row r="169" spans="1:24" x14ac:dyDescent="0.2"/>
    <row r="170" spans="1:24" x14ac:dyDescent="0.2"/>
    <row r="171" spans="1:24" x14ac:dyDescent="0.2"/>
    <row r="172" spans="1:24" x14ac:dyDescent="0.2"/>
    <row r="173" spans="1:24" x14ac:dyDescent="0.2"/>
    <row r="174" spans="1:24" x14ac:dyDescent="0.2"/>
    <row r="175" spans="1:24" x14ac:dyDescent="0.2"/>
    <row r="176" spans="1:24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</sheetData>
  <phoneticPr fontId="74" type="noConversion"/>
  <conditionalFormatting sqref="J3:X3">
    <cfRule type="cellIs" dxfId="79" priority="1" operator="equal">
      <formula>"Post-Fcst"</formula>
    </cfRule>
    <cfRule type="cellIs" dxfId="78" priority="2" operator="equal">
      <formula>"Post-Fcst Mod"</formula>
    </cfRule>
    <cfRule type="cellIs" dxfId="77" priority="3" operator="equal">
      <formula>"Forecast"</formula>
    </cfRule>
    <cfRule type="cellIs" dxfId="76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43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Validation!$A$4:$A$5</xm:f>
          </x14:formula1>
          <xm:sqref>F12</xm:sqref>
        </x14:dataValidation>
        <x14:dataValidation type="list" allowBlank="1" showInputMessage="1" showErrorMessage="1" xr:uid="{8505BB88-62D5-4ADF-B83F-A0DAA4E9EDF0}">
          <x14:formula1>
            <xm:f>Validation!$B$4:$B$23</xm:f>
          </x14:formula1>
          <xm:sqref>F9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2791B-0B5F-43FA-830F-61FEF3B1B939}">
  <sheetPr>
    <tabColor rgb="FFFCEABF"/>
    <pageSetUpPr fitToPage="1"/>
  </sheetPr>
  <dimension ref="A1:Y196"/>
  <sheetViews>
    <sheetView showGridLines="0" zoomScale="80" zoomScaleNormal="80" workbookViewId="0">
      <pane xSplit="9" ySplit="5" topLeftCell="J6" activePane="bottomRight" state="frozen"/>
      <selection pane="topRight" activeCell="B4" sqref="B4"/>
      <selection pane="bottomLeft" activeCell="B4" sqref="B4"/>
      <selection pane="bottomRight"/>
    </sheetView>
  </sheetViews>
  <sheetFormatPr defaultColWidth="9.625" defaultRowHeight="12.75" zeroHeight="1" x14ac:dyDescent="0.2"/>
  <cols>
    <col min="1" max="1" width="36.625" style="109" customWidth="1"/>
    <col min="2" max="4" width="1.625" style="109" customWidth="1"/>
    <col min="5" max="5" width="101.125" style="109" customWidth="1"/>
    <col min="6" max="6" width="25.625" style="3" customWidth="1"/>
    <col min="7" max="7" width="15.625" style="109" customWidth="1"/>
    <col min="8" max="8" width="15.625" style="3" customWidth="1"/>
    <col min="9" max="9" width="2.625" style="3" customWidth="1"/>
    <col min="10" max="22" width="9.625" style="3" customWidth="1"/>
    <col min="23" max="16384" width="9.625" style="3"/>
  </cols>
  <sheetData>
    <row r="1" spans="1:24" s="84" customFormat="1" ht="29.25" x14ac:dyDescent="0.2">
      <c r="A1" s="111" t="str">
        <f ca="1" xml:space="preserve"> RIGHT(CELL("filename", $A$1), LEN(CELL("filename", $A$1)) - SEARCH("]", CELL("filename", $A$1)))</f>
        <v>InpOfwat</v>
      </c>
      <c r="B1" s="111"/>
      <c r="C1" s="111"/>
      <c r="D1" s="111"/>
      <c r="E1" s="111"/>
      <c r="F1" s="111"/>
      <c r="G1" s="111"/>
      <c r="H1" s="392">
        <f>InpOfwat!F9</f>
        <v>0</v>
      </c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1:24" s="1" customFormat="1" x14ac:dyDescent="0.2">
      <c r="A2" s="119"/>
      <c r="B2" s="119"/>
      <c r="C2" s="119"/>
      <c r="D2" s="119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6" customFormat="1" x14ac:dyDescent="0.2">
      <c r="A3" s="119"/>
      <c r="B3" s="119"/>
      <c r="C3" s="119"/>
      <c r="D3" s="119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7" customFormat="1" x14ac:dyDescent="0.2">
      <c r="A4" s="20"/>
      <c r="B4" s="96"/>
      <c r="C4" s="139"/>
      <c r="D4" s="98"/>
      <c r="E4" s="150" t="str">
        <f>Time!E$106</f>
        <v>Financial Year Ending</v>
      </c>
      <c r="F4" s="120"/>
      <c r="G4" s="120"/>
      <c r="H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1" customFormat="1" x14ac:dyDescent="0.2">
      <c r="A5" s="109"/>
      <c r="B5" s="109"/>
      <c r="C5" s="109"/>
      <c r="D5" s="109"/>
      <c r="E5" s="120" t="str">
        <f>Time!E$10</f>
        <v>Model column counter</v>
      </c>
      <c r="F5" s="149" t="s">
        <v>532</v>
      </c>
      <c r="G5" s="149" t="s">
        <v>186</v>
      </c>
      <c r="H5" s="2" t="s">
        <v>533</v>
      </c>
      <c r="I5" s="3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1" customFormat="1" x14ac:dyDescent="0.2">
      <c r="A6" s="109"/>
      <c r="B6" s="109"/>
      <c r="C6" s="109"/>
      <c r="D6" s="109"/>
      <c r="E6" s="120"/>
      <c r="F6" s="149"/>
      <c r="G6" s="149"/>
      <c r="H6" s="2"/>
      <c r="I6" s="3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401" customFormat="1" ht="13.5" x14ac:dyDescent="0.25">
      <c r="A7" s="209" t="s">
        <v>623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</row>
    <row r="8" spans="1:24" s="180" customFormat="1" x14ac:dyDescent="0.2">
      <c r="A8" s="181"/>
      <c r="B8" s="181"/>
      <c r="C8" s="181"/>
      <c r="D8" s="181"/>
      <c r="E8" s="181"/>
      <c r="F8" s="181"/>
      <c r="G8" s="181"/>
      <c r="H8" s="181"/>
      <c r="I8" s="182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81"/>
      <c r="U8" s="181"/>
      <c r="V8" s="181"/>
      <c r="W8" s="181"/>
      <c r="X8" s="181"/>
    </row>
    <row r="9" spans="1:24" s="180" customFormat="1" x14ac:dyDescent="0.2">
      <c r="A9" s="181"/>
      <c r="B9" s="181"/>
      <c r="C9" s="181"/>
      <c r="D9" s="181"/>
      <c r="E9" s="181" t="s">
        <v>88</v>
      </c>
      <c r="F9" s="460"/>
      <c r="G9" s="181"/>
      <c r="H9" s="181"/>
      <c r="I9" s="183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</row>
    <row r="10" spans="1:24" s="180" customFormat="1" x14ac:dyDescent="0.2">
      <c r="A10" s="181"/>
      <c r="B10" s="181"/>
      <c r="C10" s="181"/>
      <c r="D10" s="181"/>
      <c r="E10" s="181" t="s">
        <v>535</v>
      </c>
      <c r="F10" s="389"/>
      <c r="G10" s="181"/>
      <c r="H10" s="181"/>
      <c r="I10" s="183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</row>
    <row r="11" spans="1:24" s="180" customFormat="1" x14ac:dyDescent="0.2">
      <c r="A11" s="181"/>
      <c r="B11" s="181"/>
      <c r="C11" s="181"/>
      <c r="D11" s="181"/>
      <c r="E11" s="181"/>
      <c r="F11" s="181"/>
      <c r="G11" s="181"/>
      <c r="H11" s="181"/>
      <c r="I11" s="183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</row>
    <row r="12" spans="1:24" s="180" customFormat="1" x14ac:dyDescent="0.2">
      <c r="A12" s="181"/>
      <c r="B12" s="181"/>
      <c r="C12" s="181"/>
      <c r="D12" s="181"/>
      <c r="E12" s="181" t="s">
        <v>87</v>
      </c>
      <c r="F12" s="389"/>
      <c r="G12" s="181" t="s">
        <v>536</v>
      </c>
      <c r="H12" s="184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</row>
    <row r="13" spans="1:24" s="180" customFormat="1" x14ac:dyDescent="0.2">
      <c r="A13" s="181"/>
      <c r="B13" s="181"/>
      <c r="C13" s="181"/>
      <c r="D13" s="181"/>
      <c r="E13" s="181"/>
      <c r="F13" s="181"/>
      <c r="G13" s="183"/>
      <c r="H13" s="183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</row>
    <row r="14" spans="1:24" s="180" customFormat="1" x14ac:dyDescent="0.2">
      <c r="A14" s="181"/>
      <c r="B14" s="181"/>
      <c r="C14" s="181"/>
      <c r="D14" s="181"/>
      <c r="E14" s="181" t="s">
        <v>537</v>
      </c>
      <c r="F14" s="381" t="s">
        <v>192</v>
      </c>
      <c r="G14" s="181" t="s">
        <v>536</v>
      </c>
      <c r="H14" s="183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</row>
    <row r="15" spans="1:24" s="180" customFormat="1" x14ac:dyDescent="0.2">
      <c r="A15" s="181"/>
      <c r="B15" s="181"/>
      <c r="C15" s="181"/>
      <c r="D15" s="181"/>
      <c r="E15" s="181" t="s">
        <v>538</v>
      </c>
      <c r="F15" s="381" t="str">
        <f>"£m ("&amp;F14&amp;" FYA CPIH prices)"</f>
        <v>£m (2017-18 FYA CPIH prices)</v>
      </c>
      <c r="G15" s="181" t="s">
        <v>534</v>
      </c>
      <c r="H15" s="183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</row>
    <row r="16" spans="1:24" s="180" customFormat="1" x14ac:dyDescent="0.2">
      <c r="A16" s="181"/>
      <c r="B16" s="181"/>
      <c r="C16" s="181"/>
      <c r="D16" s="181"/>
      <c r="E16" s="181"/>
      <c r="F16" s="461"/>
      <c r="G16" s="181"/>
      <c r="H16" s="183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</row>
    <row r="17" spans="1:25" s="340" customFormat="1" x14ac:dyDescent="0.2">
      <c r="A17" s="257"/>
      <c r="B17" s="257"/>
      <c r="C17" s="257"/>
      <c r="D17" s="257"/>
      <c r="E17" s="257"/>
      <c r="F17" s="257"/>
      <c r="G17" s="257"/>
      <c r="H17" s="339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180"/>
    </row>
    <row r="18" spans="1:25" s="180" customFormat="1" x14ac:dyDescent="0.2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</row>
    <row r="19" spans="1:25" s="180" customFormat="1" x14ac:dyDescent="0.2">
      <c r="A19" s="181"/>
      <c r="B19" s="181"/>
      <c r="C19" s="185" t="s">
        <v>539</v>
      </c>
      <c r="D19" s="181"/>
      <c r="E19" s="181"/>
      <c r="F19" s="181"/>
      <c r="G19" s="181"/>
      <c r="H19" s="181"/>
      <c r="I19" s="181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81"/>
      <c r="U19" s="181"/>
      <c r="V19" s="181"/>
      <c r="W19" s="181"/>
      <c r="X19" s="181"/>
    </row>
    <row r="20" spans="1:25" s="180" customFormat="1" x14ac:dyDescent="0.2">
      <c r="A20" s="181"/>
      <c r="B20" s="181"/>
      <c r="C20" s="181"/>
      <c r="D20" s="181"/>
      <c r="E20" s="181"/>
      <c r="F20" s="181"/>
      <c r="G20" s="181"/>
      <c r="H20" s="181"/>
      <c r="I20" s="181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81"/>
      <c r="U20" s="181"/>
      <c r="V20" s="181"/>
      <c r="W20" s="181"/>
      <c r="X20" s="181"/>
    </row>
    <row r="21" spans="1:25" s="180" customFormat="1" x14ac:dyDescent="0.2">
      <c r="A21" s="181"/>
      <c r="B21" s="181"/>
      <c r="C21" s="181"/>
      <c r="D21" s="186" t="s">
        <v>540</v>
      </c>
      <c r="E21" s="181"/>
      <c r="F21" s="181"/>
      <c r="G21" s="181"/>
      <c r="H21" s="181"/>
      <c r="I21" s="181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81"/>
      <c r="U21" s="181"/>
      <c r="V21" s="181"/>
      <c r="W21" s="181"/>
      <c r="X21" s="181"/>
    </row>
    <row r="22" spans="1:25" s="180" customFormat="1" x14ac:dyDescent="0.2">
      <c r="A22" s="181"/>
      <c r="B22" s="181"/>
      <c r="C22" s="181"/>
      <c r="D22" s="181"/>
      <c r="E22" s="154" t="s">
        <v>541</v>
      </c>
      <c r="F22" s="462"/>
      <c r="G22" s="181" t="str">
        <f>$F$15</f>
        <v>£m (2017-18 FYA CPIH prices)</v>
      </c>
      <c r="H22" s="181"/>
      <c r="I22" s="181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81"/>
      <c r="U22" s="181"/>
      <c r="V22" s="181"/>
      <c r="W22" s="181"/>
      <c r="X22" s="181"/>
    </row>
    <row r="23" spans="1:25" s="180" customFormat="1" x14ac:dyDescent="0.2">
      <c r="A23" s="181"/>
      <c r="B23" s="181"/>
      <c r="C23" s="181"/>
      <c r="D23" s="181"/>
      <c r="E23" s="154" t="s">
        <v>542</v>
      </c>
      <c r="F23" s="462"/>
      <c r="G23" s="181" t="str">
        <f t="shared" ref="G23:G29" si="0">$F$15</f>
        <v>£m (2017-18 FYA CPIH prices)</v>
      </c>
      <c r="H23" s="181"/>
      <c r="I23" s="181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81"/>
      <c r="U23" s="181"/>
      <c r="V23" s="181"/>
      <c r="W23" s="181"/>
      <c r="X23" s="181"/>
    </row>
    <row r="24" spans="1:25" s="180" customFormat="1" x14ac:dyDescent="0.2">
      <c r="A24" s="181"/>
      <c r="B24" s="181"/>
      <c r="C24" s="181"/>
      <c r="D24" s="181"/>
      <c r="E24" s="154" t="s">
        <v>543</v>
      </c>
      <c r="F24" s="462"/>
      <c r="G24" s="181" t="str">
        <f t="shared" si="0"/>
        <v>£m (2017-18 FYA CPIH prices)</v>
      </c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</row>
    <row r="25" spans="1:25" s="180" customFormat="1" x14ac:dyDescent="0.2">
      <c r="A25" s="181"/>
      <c r="B25" s="181"/>
      <c r="C25" s="181"/>
      <c r="D25" s="181"/>
      <c r="E25" s="154" t="s">
        <v>544</v>
      </c>
      <c r="F25" s="462"/>
      <c r="G25" s="181" t="str">
        <f t="shared" si="0"/>
        <v>£m (2017-18 FYA CPIH prices)</v>
      </c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</row>
    <row r="26" spans="1:25" s="180" customFormat="1" x14ac:dyDescent="0.2">
      <c r="A26" s="181"/>
      <c r="B26" s="181"/>
      <c r="C26" s="181"/>
      <c r="D26" s="181"/>
      <c r="E26" s="154" t="s">
        <v>545</v>
      </c>
      <c r="F26" s="462"/>
      <c r="G26" s="181" t="str">
        <f t="shared" si="0"/>
        <v>£m (2017-18 FYA CPIH prices)</v>
      </c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</row>
    <row r="27" spans="1:25" s="180" customFormat="1" x14ac:dyDescent="0.2">
      <c r="A27" s="181"/>
      <c r="B27" s="181"/>
      <c r="C27" s="181"/>
      <c r="D27" s="181"/>
      <c r="E27" s="154" t="s">
        <v>546</v>
      </c>
      <c r="F27" s="462"/>
      <c r="G27" s="181" t="str">
        <f t="shared" si="0"/>
        <v>£m (2017-18 FYA CPIH prices)</v>
      </c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</row>
    <row r="28" spans="1:25" s="180" customFormat="1" x14ac:dyDescent="0.2">
      <c r="A28" s="181"/>
      <c r="B28" s="181"/>
      <c r="C28" s="181"/>
      <c r="D28" s="181"/>
      <c r="E28" s="154" t="s">
        <v>547</v>
      </c>
      <c r="F28" s="462"/>
      <c r="G28" s="181" t="str">
        <f t="shared" si="0"/>
        <v>£m (2017-18 FYA CPIH prices)</v>
      </c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</row>
    <row r="29" spans="1:25" s="180" customFormat="1" x14ac:dyDescent="0.2">
      <c r="A29" s="181"/>
      <c r="B29" s="181"/>
      <c r="C29" s="181"/>
      <c r="D29" s="181"/>
      <c r="E29" s="154" t="s">
        <v>548</v>
      </c>
      <c r="F29" s="462"/>
      <c r="G29" s="181" t="str">
        <f t="shared" si="0"/>
        <v>£m (2017-18 FYA CPIH prices)</v>
      </c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</row>
    <row r="30" spans="1:25" s="180" customFormat="1" x14ac:dyDescent="0.2">
      <c r="A30" s="181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</row>
    <row r="31" spans="1:25" s="180" customFormat="1" x14ac:dyDescent="0.2">
      <c r="A31" s="181"/>
      <c r="B31" s="181"/>
      <c r="C31" s="181"/>
      <c r="D31" s="186" t="s">
        <v>549</v>
      </c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</row>
    <row r="32" spans="1:25" s="180" customFormat="1" x14ac:dyDescent="0.2">
      <c r="A32" s="181"/>
      <c r="B32" s="181"/>
      <c r="C32" s="181"/>
      <c r="D32" s="181"/>
      <c r="E32" s="257" t="s">
        <v>446</v>
      </c>
      <c r="F32" s="462"/>
      <c r="G32" s="181" t="str">
        <f>$F$15</f>
        <v>£m (2017-18 FYA CPIH prices)</v>
      </c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</row>
    <row r="33" spans="1:24" s="180" customFormat="1" x14ac:dyDescent="0.2">
      <c r="A33" s="181"/>
      <c r="B33" s="181"/>
      <c r="C33" s="181"/>
      <c r="D33" s="181"/>
      <c r="E33" s="181" t="s">
        <v>448</v>
      </c>
      <c r="F33" s="462"/>
      <c r="G33" s="181" t="str">
        <f>$F$15</f>
        <v>£m (2017-18 FYA CPIH prices)</v>
      </c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</row>
    <row r="34" spans="1:24" s="180" customFormat="1" x14ac:dyDescent="0.2">
      <c r="A34" s="181"/>
      <c r="B34" s="181"/>
      <c r="C34" s="181"/>
      <c r="D34" s="181"/>
      <c r="E34" s="181" t="s">
        <v>450</v>
      </c>
      <c r="F34" s="462"/>
      <c r="G34" s="181" t="str">
        <f>$F$15</f>
        <v>£m (2017-18 FYA CPIH prices)</v>
      </c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</row>
    <row r="35" spans="1:24" s="180" customFormat="1" x14ac:dyDescent="0.2">
      <c r="A35" s="181"/>
      <c r="B35" s="181"/>
      <c r="C35" s="181"/>
      <c r="D35" s="181"/>
      <c r="E35" s="181" t="s">
        <v>452</v>
      </c>
      <c r="F35" s="462"/>
      <c r="G35" s="181" t="str">
        <f>$F$15</f>
        <v>£m (2017-18 FYA CPIH prices)</v>
      </c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</row>
    <row r="36" spans="1:24" s="180" customFormat="1" x14ac:dyDescent="0.2">
      <c r="A36" s="181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</row>
    <row r="37" spans="1:24" s="180" customFormat="1" x14ac:dyDescent="0.2">
      <c r="A37" s="181"/>
      <c r="B37" s="181"/>
      <c r="C37" s="181"/>
      <c r="D37" s="259" t="s">
        <v>550</v>
      </c>
      <c r="E37" s="257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</row>
    <row r="38" spans="1:24" s="180" customFormat="1" x14ac:dyDescent="0.2">
      <c r="A38" s="181"/>
      <c r="B38" s="181"/>
      <c r="C38" s="181"/>
      <c r="D38" s="181"/>
      <c r="E38" s="154" t="s">
        <v>551</v>
      </c>
      <c r="F38" s="462"/>
      <c r="G38" s="181" t="str">
        <f t="shared" ref="G38:G45" si="1">$F$15</f>
        <v>£m (2017-18 FYA CPIH prices)</v>
      </c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</row>
    <row r="39" spans="1:24" s="180" customFormat="1" x14ac:dyDescent="0.2">
      <c r="A39" s="181"/>
      <c r="B39" s="181"/>
      <c r="C39" s="181"/>
      <c r="D39" s="181"/>
      <c r="E39" s="154" t="s">
        <v>552</v>
      </c>
      <c r="F39" s="462"/>
      <c r="G39" s="181" t="str">
        <f t="shared" si="1"/>
        <v>£m (2017-18 FYA CPIH prices)</v>
      </c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</row>
    <row r="40" spans="1:24" s="180" customFormat="1" x14ac:dyDescent="0.2">
      <c r="A40" s="181"/>
      <c r="B40" s="181"/>
      <c r="C40" s="181"/>
      <c r="D40" s="181"/>
      <c r="E40" s="154" t="s">
        <v>553</v>
      </c>
      <c r="F40" s="462"/>
      <c r="G40" s="181" t="str">
        <f t="shared" si="1"/>
        <v>£m (2017-18 FYA CPIH prices)</v>
      </c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</row>
    <row r="41" spans="1:24" s="180" customFormat="1" x14ac:dyDescent="0.2">
      <c r="A41" s="181"/>
      <c r="B41" s="181"/>
      <c r="C41" s="181"/>
      <c r="D41" s="181"/>
      <c r="E41" s="154" t="s">
        <v>554</v>
      </c>
      <c r="F41" s="462"/>
      <c r="G41" s="181" t="str">
        <f t="shared" si="1"/>
        <v>£m (2017-18 FYA CPIH prices)</v>
      </c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</row>
    <row r="42" spans="1:24" s="180" customFormat="1" x14ac:dyDescent="0.2">
      <c r="A42" s="181"/>
      <c r="B42" s="181"/>
      <c r="C42" s="181"/>
      <c r="D42" s="181"/>
      <c r="E42" s="154" t="s">
        <v>555</v>
      </c>
      <c r="F42" s="462"/>
      <c r="G42" s="181" t="str">
        <f t="shared" si="1"/>
        <v>£m (2017-18 FYA CPIH prices)</v>
      </c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</row>
    <row r="43" spans="1:24" s="180" customFormat="1" x14ac:dyDescent="0.2">
      <c r="A43" s="181"/>
      <c r="B43" s="181"/>
      <c r="C43" s="181"/>
      <c r="D43" s="181"/>
      <c r="E43" s="154" t="s">
        <v>556</v>
      </c>
      <c r="F43" s="462"/>
      <c r="G43" s="181" t="str">
        <f t="shared" si="1"/>
        <v>£m (2017-18 FYA CPIH prices)</v>
      </c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</row>
    <row r="44" spans="1:24" s="180" customFormat="1" x14ac:dyDescent="0.2">
      <c r="A44" s="181"/>
      <c r="B44" s="181"/>
      <c r="C44" s="181"/>
      <c r="D44" s="181"/>
      <c r="E44" s="154" t="s">
        <v>557</v>
      </c>
      <c r="F44" s="462"/>
      <c r="G44" s="181" t="str">
        <f t="shared" si="1"/>
        <v>£m (2017-18 FYA CPIH prices)</v>
      </c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</row>
    <row r="45" spans="1:24" s="180" customFormat="1" x14ac:dyDescent="0.2">
      <c r="A45" s="181"/>
      <c r="B45" s="181"/>
      <c r="C45" s="181"/>
      <c r="D45" s="181"/>
      <c r="E45" s="154" t="s">
        <v>558</v>
      </c>
      <c r="F45" s="462"/>
      <c r="G45" s="181" t="str">
        <f t="shared" si="1"/>
        <v>£m (2017-18 FYA CPIH prices)</v>
      </c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</row>
    <row r="46" spans="1:24" s="180" customFormat="1" x14ac:dyDescent="0.2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</row>
    <row r="47" spans="1:24" s="180" customFormat="1" x14ac:dyDescent="0.2">
      <c r="A47" s="181"/>
      <c r="B47" s="181"/>
      <c r="C47" s="185" t="s">
        <v>559</v>
      </c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</row>
    <row r="48" spans="1:24" s="180" customFormat="1" x14ac:dyDescent="0.2">
      <c r="A48" s="181"/>
      <c r="B48" s="181"/>
      <c r="C48" s="185"/>
      <c r="D48" s="187" t="s">
        <v>624</v>
      </c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</row>
    <row r="49" spans="1:24" s="180" customFormat="1" x14ac:dyDescent="0.2">
      <c r="A49" s="181"/>
      <c r="B49" s="181"/>
      <c r="C49" s="185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</row>
    <row r="50" spans="1:24" s="180" customFormat="1" x14ac:dyDescent="0.2">
      <c r="A50" s="181"/>
      <c r="B50" s="181"/>
      <c r="C50" s="181"/>
      <c r="D50" s="186" t="s">
        <v>561</v>
      </c>
      <c r="E50" s="181"/>
      <c r="F50" s="181"/>
      <c r="G50" s="181"/>
      <c r="H50" s="188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</row>
    <row r="51" spans="1:24" s="180" customFormat="1" x14ac:dyDescent="0.2">
      <c r="A51" s="181"/>
      <c r="B51" s="181"/>
      <c r="C51" s="181"/>
      <c r="D51" s="181"/>
      <c r="E51" s="181" t="s">
        <v>562</v>
      </c>
      <c r="F51" s="462"/>
      <c r="G51" s="181" t="str">
        <f t="shared" ref="G51:G58" si="2">$F$15</f>
        <v>£m (2017-18 FYA CPIH prices)</v>
      </c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</row>
    <row r="52" spans="1:24" s="180" customFormat="1" x14ac:dyDescent="0.2">
      <c r="A52" s="181"/>
      <c r="B52" s="181"/>
      <c r="C52" s="181"/>
      <c r="D52" s="181"/>
      <c r="E52" s="181" t="s">
        <v>563</v>
      </c>
      <c r="F52" s="462"/>
      <c r="G52" s="181" t="str">
        <f t="shared" si="2"/>
        <v>£m (2017-18 FYA CPIH prices)</v>
      </c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</row>
    <row r="53" spans="1:24" s="180" customFormat="1" x14ac:dyDescent="0.2">
      <c r="A53" s="181"/>
      <c r="B53" s="181"/>
      <c r="C53" s="181"/>
      <c r="D53" s="181"/>
      <c r="E53" s="181" t="s">
        <v>564</v>
      </c>
      <c r="F53" s="462"/>
      <c r="G53" s="181" t="str">
        <f t="shared" si="2"/>
        <v>£m (2017-18 FYA CPIH prices)</v>
      </c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</row>
    <row r="54" spans="1:24" s="180" customFormat="1" x14ac:dyDescent="0.2">
      <c r="A54" s="181"/>
      <c r="B54" s="181"/>
      <c r="C54" s="181"/>
      <c r="D54" s="181"/>
      <c r="E54" s="181" t="s">
        <v>565</v>
      </c>
      <c r="F54" s="462"/>
      <c r="G54" s="181" t="str">
        <f t="shared" si="2"/>
        <v>£m (2017-18 FYA CPIH prices)</v>
      </c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</row>
    <row r="55" spans="1:24" s="180" customFormat="1" x14ac:dyDescent="0.2">
      <c r="A55" s="181"/>
      <c r="B55" s="181"/>
      <c r="C55" s="181"/>
      <c r="D55" s="181"/>
      <c r="E55" s="181" t="s">
        <v>566</v>
      </c>
      <c r="F55" s="462"/>
      <c r="G55" s="181" t="str">
        <f t="shared" si="2"/>
        <v>£m (2017-18 FYA CPIH prices)</v>
      </c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</row>
    <row r="56" spans="1:24" s="180" customFormat="1" x14ac:dyDescent="0.2">
      <c r="A56" s="181"/>
      <c r="B56" s="181"/>
      <c r="C56" s="181"/>
      <c r="D56" s="181"/>
      <c r="E56" s="181" t="s">
        <v>567</v>
      </c>
      <c r="F56" s="462"/>
      <c r="G56" s="181" t="str">
        <f t="shared" si="2"/>
        <v>£m (2017-18 FYA CPIH prices)</v>
      </c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</row>
    <row r="57" spans="1:24" s="180" customFormat="1" x14ac:dyDescent="0.2">
      <c r="A57" s="181"/>
      <c r="B57" s="181"/>
      <c r="C57" s="181"/>
      <c r="D57" s="181"/>
      <c r="E57" s="181" t="s">
        <v>568</v>
      </c>
      <c r="F57" s="462"/>
      <c r="G57" s="181" t="str">
        <f t="shared" si="2"/>
        <v>£m (2017-18 FYA CPIH prices)</v>
      </c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</row>
    <row r="58" spans="1:24" s="180" customFormat="1" x14ac:dyDescent="0.2">
      <c r="A58" s="181"/>
      <c r="B58" s="181"/>
      <c r="C58" s="181"/>
      <c r="D58" s="181"/>
      <c r="E58" s="181" t="s">
        <v>569</v>
      </c>
      <c r="F58" s="462"/>
      <c r="G58" s="181" t="str">
        <f t="shared" si="2"/>
        <v>£m (2017-18 FYA CPIH prices)</v>
      </c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</row>
    <row r="59" spans="1:24" s="180" customFormat="1" x14ac:dyDescent="0.2">
      <c r="A59" s="181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</row>
    <row r="60" spans="1:24" s="180" customFormat="1" x14ac:dyDescent="0.2">
      <c r="A60" s="181"/>
      <c r="B60" s="181"/>
      <c r="C60" s="181"/>
      <c r="D60" s="186" t="s">
        <v>570</v>
      </c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</row>
    <row r="61" spans="1:24" s="180" customFormat="1" x14ac:dyDescent="0.2">
      <c r="A61" s="181"/>
      <c r="B61" s="181"/>
      <c r="C61" s="181"/>
      <c r="D61" s="181"/>
      <c r="E61" s="181" t="s">
        <v>571</v>
      </c>
      <c r="F61" s="462"/>
      <c r="G61" s="181" t="str">
        <f t="shared" ref="G61:G68" si="3">$F$15</f>
        <v>£m (2017-18 FYA CPIH prices)</v>
      </c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</row>
    <row r="62" spans="1:24" s="180" customFormat="1" x14ac:dyDescent="0.2">
      <c r="A62" s="181"/>
      <c r="B62" s="181"/>
      <c r="C62" s="181"/>
      <c r="D62" s="181"/>
      <c r="E62" s="181" t="s">
        <v>572</v>
      </c>
      <c r="F62" s="462"/>
      <c r="G62" s="181" t="str">
        <f t="shared" si="3"/>
        <v>£m (2017-18 FYA CPIH prices)</v>
      </c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</row>
    <row r="63" spans="1:24" s="180" customFormat="1" x14ac:dyDescent="0.2">
      <c r="A63" s="181"/>
      <c r="B63" s="181"/>
      <c r="C63" s="181"/>
      <c r="D63" s="181"/>
      <c r="E63" s="181" t="s">
        <v>573</v>
      </c>
      <c r="F63" s="462"/>
      <c r="G63" s="181" t="str">
        <f t="shared" si="3"/>
        <v>£m (2017-18 FYA CPIH prices)</v>
      </c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</row>
    <row r="64" spans="1:24" s="180" customFormat="1" x14ac:dyDescent="0.2">
      <c r="A64" s="181"/>
      <c r="B64" s="181"/>
      <c r="C64" s="181"/>
      <c r="D64" s="181"/>
      <c r="E64" s="181" t="s">
        <v>574</v>
      </c>
      <c r="F64" s="462"/>
      <c r="G64" s="181" t="str">
        <f t="shared" si="3"/>
        <v>£m (2017-18 FYA CPIH prices)</v>
      </c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</row>
    <row r="65" spans="1:24" s="180" customFormat="1" x14ac:dyDescent="0.2">
      <c r="A65" s="181"/>
      <c r="B65" s="181"/>
      <c r="C65" s="181"/>
      <c r="D65" s="181"/>
      <c r="E65" s="181" t="s">
        <v>575</v>
      </c>
      <c r="F65" s="462"/>
      <c r="G65" s="181" t="str">
        <f t="shared" si="3"/>
        <v>£m (2017-18 FYA CPIH prices)</v>
      </c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</row>
    <row r="66" spans="1:24" s="152" customFormat="1" x14ac:dyDescent="0.2">
      <c r="A66" s="181"/>
      <c r="B66" s="181"/>
      <c r="C66" s="181"/>
      <c r="D66" s="181"/>
      <c r="E66" s="181" t="s">
        <v>576</v>
      </c>
      <c r="F66" s="462"/>
      <c r="G66" s="181" t="str">
        <f t="shared" si="3"/>
        <v>£m (2017-18 FYA CPIH prices)</v>
      </c>
      <c r="H66" s="181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</row>
    <row r="67" spans="1:24" s="180" customFormat="1" x14ac:dyDescent="0.2">
      <c r="A67" s="181"/>
      <c r="B67" s="181"/>
      <c r="C67" s="181"/>
      <c r="D67" s="181"/>
      <c r="E67" s="181" t="s">
        <v>577</v>
      </c>
      <c r="F67" s="462"/>
      <c r="G67" s="181" t="str">
        <f t="shared" si="3"/>
        <v>£m (2017-18 FYA CPIH prices)</v>
      </c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</row>
    <row r="68" spans="1:24" s="180" customFormat="1" x14ac:dyDescent="0.2">
      <c r="A68" s="181"/>
      <c r="B68" s="181"/>
      <c r="C68" s="181"/>
      <c r="D68" s="181"/>
      <c r="E68" s="181" t="s">
        <v>578</v>
      </c>
      <c r="F68" s="462"/>
      <c r="G68" s="181" t="str">
        <f t="shared" si="3"/>
        <v>£m (2017-18 FYA CPIH prices)</v>
      </c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</row>
    <row r="69" spans="1:24" s="180" customFormat="1" x14ac:dyDescent="0.2">
      <c r="A69" s="181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</row>
    <row r="70" spans="1:24" s="180" customFormat="1" x14ac:dyDescent="0.2">
      <c r="A70" s="181"/>
      <c r="B70" s="181"/>
      <c r="C70" s="185" t="s">
        <v>579</v>
      </c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</row>
    <row r="71" spans="1:24" s="180" customFormat="1" x14ac:dyDescent="0.2">
      <c r="A71" s="181"/>
      <c r="B71" s="181"/>
      <c r="C71" s="185"/>
      <c r="D71" s="187" t="s">
        <v>580</v>
      </c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</row>
    <row r="72" spans="1:24" s="180" customFormat="1" x14ac:dyDescent="0.2">
      <c r="A72" s="181"/>
      <c r="B72" s="181"/>
      <c r="C72" s="185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</row>
    <row r="73" spans="1:24" s="180" customFormat="1" x14ac:dyDescent="0.2">
      <c r="A73" s="181"/>
      <c r="B73" s="181"/>
      <c r="C73" s="181"/>
      <c r="D73" s="181"/>
      <c r="E73" s="181" t="s">
        <v>430</v>
      </c>
      <c r="F73" s="462"/>
      <c r="G73" s="181" t="str">
        <f t="shared" ref="G73:G80" si="4">$F$15</f>
        <v>£m (2017-18 FYA CPIH prices)</v>
      </c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</row>
    <row r="74" spans="1:24" s="180" customFormat="1" x14ac:dyDescent="0.2">
      <c r="A74" s="181"/>
      <c r="B74" s="181"/>
      <c r="C74" s="181"/>
      <c r="D74" s="181"/>
      <c r="E74" s="181" t="s">
        <v>432</v>
      </c>
      <c r="F74" s="462"/>
      <c r="G74" s="181" t="str">
        <f t="shared" si="4"/>
        <v>£m (2017-18 FYA CPIH prices)</v>
      </c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</row>
    <row r="75" spans="1:24" s="180" customFormat="1" x14ac:dyDescent="0.2">
      <c r="A75" s="181"/>
      <c r="B75" s="181"/>
      <c r="C75" s="181"/>
      <c r="D75" s="181"/>
      <c r="E75" s="181" t="s">
        <v>434</v>
      </c>
      <c r="F75" s="462"/>
      <c r="G75" s="181" t="str">
        <f t="shared" si="4"/>
        <v>£m (2017-18 FYA CPIH prices)</v>
      </c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</row>
    <row r="76" spans="1:24" s="180" customFormat="1" x14ac:dyDescent="0.2">
      <c r="A76" s="181"/>
      <c r="B76" s="181"/>
      <c r="C76" s="181"/>
      <c r="D76" s="181"/>
      <c r="E76" s="181" t="s">
        <v>436</v>
      </c>
      <c r="F76" s="462"/>
      <c r="G76" s="181" t="str">
        <f t="shared" si="4"/>
        <v>£m (2017-18 FYA CPIH prices)</v>
      </c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</row>
    <row r="77" spans="1:24" s="180" customFormat="1" x14ac:dyDescent="0.2">
      <c r="A77" s="181"/>
      <c r="B77" s="181"/>
      <c r="C77" s="181"/>
      <c r="D77" s="181"/>
      <c r="E77" s="181" t="s">
        <v>438</v>
      </c>
      <c r="F77" s="462"/>
      <c r="G77" s="181" t="str">
        <f t="shared" si="4"/>
        <v>£m (2017-18 FYA CPIH prices)</v>
      </c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</row>
    <row r="78" spans="1:24" s="180" customFormat="1" x14ac:dyDescent="0.2">
      <c r="A78" s="181"/>
      <c r="B78" s="181"/>
      <c r="C78" s="181"/>
      <c r="D78" s="181"/>
      <c r="E78" s="181" t="s">
        <v>440</v>
      </c>
      <c r="F78" s="462"/>
      <c r="G78" s="181" t="str">
        <f t="shared" si="4"/>
        <v>£m (2017-18 FYA CPIH prices)</v>
      </c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</row>
    <row r="79" spans="1:24" s="180" customFormat="1" x14ac:dyDescent="0.2">
      <c r="A79" s="181"/>
      <c r="B79" s="181"/>
      <c r="C79" s="181"/>
      <c r="D79" s="181"/>
      <c r="E79" s="181" t="s">
        <v>442</v>
      </c>
      <c r="F79" s="462"/>
      <c r="G79" s="181" t="str">
        <f t="shared" si="4"/>
        <v>£m (2017-18 FYA CPIH prices)</v>
      </c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</row>
    <row r="80" spans="1:24" s="180" customFormat="1" x14ac:dyDescent="0.2">
      <c r="A80" s="181"/>
      <c r="B80" s="181"/>
      <c r="C80" s="181"/>
      <c r="D80" s="181"/>
      <c r="E80" s="181" t="s">
        <v>444</v>
      </c>
      <c r="F80" s="462"/>
      <c r="G80" s="181" t="str">
        <f t="shared" si="4"/>
        <v>£m (2017-18 FYA CPIH prices)</v>
      </c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</row>
    <row r="81" spans="1:24" s="180" customFormat="1" x14ac:dyDescent="0.2">
      <c r="A81" s="181"/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</row>
    <row r="82" spans="1:24" s="401" customFormat="1" ht="13.5" x14ac:dyDescent="0.25">
      <c r="A82" s="209" t="s">
        <v>581</v>
      </c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</row>
    <row r="83" spans="1:24" s="180" customFormat="1" x14ac:dyDescent="0.2">
      <c r="A83" s="181"/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</row>
    <row r="84" spans="1:24" s="180" customFormat="1" x14ac:dyDescent="0.2">
      <c r="A84" s="181"/>
      <c r="B84" s="185" t="s">
        <v>582</v>
      </c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</row>
    <row r="85" spans="1:24" s="180" customFormat="1" x14ac:dyDescent="0.2">
      <c r="A85" s="181"/>
      <c r="B85" s="185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</row>
    <row r="86" spans="1:24" s="180" customFormat="1" x14ac:dyDescent="0.2">
      <c r="A86" s="181"/>
      <c r="B86" s="181"/>
      <c r="C86" s="181"/>
      <c r="D86" s="181"/>
      <c r="E86" s="181" t="s">
        <v>326</v>
      </c>
      <c r="F86" s="390"/>
      <c r="G86" s="181" t="s">
        <v>583</v>
      </c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</row>
    <row r="87" spans="1:24" s="180" customFormat="1" x14ac:dyDescent="0.2">
      <c r="A87" s="181"/>
      <c r="B87" s="181"/>
      <c r="C87" s="181"/>
      <c r="D87" s="181"/>
      <c r="E87" s="181" t="s">
        <v>328</v>
      </c>
      <c r="F87" s="390"/>
      <c r="G87" s="181" t="s">
        <v>583</v>
      </c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</row>
    <row r="88" spans="1:24" s="180" customFormat="1" x14ac:dyDescent="0.2">
      <c r="A88" s="181"/>
      <c r="B88" s="181"/>
      <c r="C88" s="181"/>
      <c r="D88" s="181"/>
      <c r="E88" s="181" t="s">
        <v>330</v>
      </c>
      <c r="F88" s="425"/>
      <c r="G88" s="181" t="s">
        <v>584</v>
      </c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</row>
    <row r="89" spans="1:24" s="180" customFormat="1" x14ac:dyDescent="0.2">
      <c r="A89" s="181"/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</row>
    <row r="90" spans="1:24" s="180" customFormat="1" x14ac:dyDescent="0.2">
      <c r="A90" s="181"/>
      <c r="B90" s="181"/>
      <c r="C90" s="181"/>
      <c r="D90" s="181"/>
      <c r="E90" s="260" t="s">
        <v>332</v>
      </c>
      <c r="F90" s="95"/>
      <c r="G90" s="95" t="s">
        <v>583</v>
      </c>
      <c r="H90" s="95"/>
      <c r="I90" s="87"/>
      <c r="J90" s="192"/>
      <c r="K90" s="192"/>
      <c r="L90" s="192"/>
      <c r="M90" s="192"/>
      <c r="N90" s="192"/>
      <c r="O90" s="192"/>
      <c r="P90" s="192"/>
      <c r="Q90" s="192"/>
      <c r="R90" s="465"/>
      <c r="S90" s="465"/>
      <c r="T90" s="465"/>
      <c r="U90" s="465"/>
      <c r="V90" s="465"/>
      <c r="W90" s="465"/>
      <c r="X90" s="465"/>
    </row>
    <row r="91" spans="1:24" s="180" customFormat="1" x14ac:dyDescent="0.2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</row>
    <row r="92" spans="1:24" s="180" customFormat="1" x14ac:dyDescent="0.2">
      <c r="A92" s="181"/>
      <c r="B92" s="181"/>
      <c r="C92" s="181"/>
      <c r="D92" s="181"/>
      <c r="E92" s="154" t="s">
        <v>625</v>
      </c>
      <c r="F92" s="154"/>
      <c r="G92" s="154" t="s">
        <v>155</v>
      </c>
      <c r="H92" s="154"/>
      <c r="I92" s="181"/>
      <c r="J92" s="368"/>
      <c r="K92" s="368"/>
      <c r="L92" s="368"/>
      <c r="M92" s="368"/>
      <c r="N92" s="368"/>
      <c r="O92" s="368"/>
      <c r="P92" s="368"/>
      <c r="Q92" s="368"/>
      <c r="R92" s="368"/>
      <c r="S92" s="368"/>
      <c r="T92" s="368"/>
      <c r="U92" s="368"/>
      <c r="V92" s="368"/>
      <c r="W92" s="368"/>
      <c r="X92" s="368"/>
    </row>
    <row r="93" spans="1:24" s="180" customFormat="1" x14ac:dyDescent="0.2">
      <c r="A93" s="181"/>
      <c r="B93" s="181"/>
      <c r="C93" s="181"/>
      <c r="D93" s="181"/>
      <c r="E93" s="154"/>
      <c r="F93" s="154"/>
      <c r="G93" s="154"/>
      <c r="H93" s="154"/>
      <c r="I93" s="181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81"/>
      <c r="U93" s="181"/>
      <c r="V93" s="181"/>
      <c r="W93" s="181"/>
      <c r="X93" s="181"/>
    </row>
    <row r="94" spans="1:24" s="180" customFormat="1" x14ac:dyDescent="0.2">
      <c r="A94" s="181"/>
      <c r="B94" s="181"/>
      <c r="C94" s="181"/>
      <c r="D94" s="186" t="s">
        <v>585</v>
      </c>
      <c r="E94" s="154"/>
      <c r="F94" s="154"/>
      <c r="G94" s="154"/>
      <c r="H94" s="154"/>
      <c r="I94" s="181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81"/>
      <c r="U94" s="181"/>
      <c r="V94" s="181"/>
      <c r="W94" s="181"/>
      <c r="X94" s="181"/>
    </row>
    <row r="95" spans="1:24" s="180" customFormat="1" x14ac:dyDescent="0.2">
      <c r="A95" s="181"/>
      <c r="B95" s="181"/>
      <c r="C95" s="181"/>
      <c r="D95" s="181"/>
      <c r="E95" s="154" t="s">
        <v>586</v>
      </c>
      <c r="F95" s="403"/>
      <c r="G95" s="109" t="s">
        <v>155</v>
      </c>
      <c r="H95" s="154"/>
      <c r="I95" s="181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81"/>
      <c r="U95" s="181"/>
      <c r="V95" s="181"/>
      <c r="W95" s="181"/>
      <c r="X95" s="181"/>
    </row>
    <row r="96" spans="1:24" s="180" customFormat="1" x14ac:dyDescent="0.2">
      <c r="A96" s="181"/>
      <c r="B96" s="181"/>
      <c r="C96" s="181"/>
      <c r="D96" s="181"/>
      <c r="E96" s="154" t="s">
        <v>587</v>
      </c>
      <c r="F96" s="403"/>
      <c r="G96" s="109" t="s">
        <v>155</v>
      </c>
      <c r="H96" s="154"/>
      <c r="I96" s="181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81"/>
      <c r="U96" s="181"/>
      <c r="V96" s="181"/>
      <c r="W96" s="181"/>
      <c r="X96" s="181"/>
    </row>
    <row r="97" spans="1:24" s="180" customFormat="1" x14ac:dyDescent="0.2">
      <c r="A97" s="181"/>
      <c r="B97" s="181"/>
      <c r="C97" s="181"/>
      <c r="D97" s="181"/>
      <c r="E97" s="154" t="s">
        <v>588</v>
      </c>
      <c r="F97" s="403"/>
      <c r="G97" s="109" t="s">
        <v>155</v>
      </c>
      <c r="H97" s="154"/>
      <c r="I97" s="181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81"/>
      <c r="U97" s="181"/>
      <c r="V97" s="181"/>
      <c r="W97" s="181"/>
      <c r="X97" s="181"/>
    </row>
    <row r="98" spans="1:24" s="180" customFormat="1" x14ac:dyDescent="0.2">
      <c r="A98" s="181"/>
      <c r="B98" s="181"/>
      <c r="C98" s="181"/>
      <c r="D98" s="181"/>
      <c r="E98" s="154" t="s">
        <v>589</v>
      </c>
      <c r="F98" s="403"/>
      <c r="G98" s="109" t="s">
        <v>155</v>
      </c>
      <c r="H98" s="154"/>
      <c r="I98" s="181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81"/>
      <c r="U98" s="181"/>
      <c r="V98" s="181"/>
      <c r="W98" s="181"/>
      <c r="X98" s="181"/>
    </row>
    <row r="99" spans="1:24" s="180" customFormat="1" x14ac:dyDescent="0.2">
      <c r="A99" s="181"/>
      <c r="B99" s="181"/>
      <c r="C99" s="181"/>
      <c r="D99" s="181"/>
      <c r="E99" s="154" t="s">
        <v>590</v>
      </c>
      <c r="F99" s="403"/>
      <c r="G99" s="109" t="s">
        <v>155</v>
      </c>
      <c r="H99" s="154"/>
      <c r="I99" s="181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81"/>
      <c r="U99" s="181"/>
      <c r="V99" s="181"/>
      <c r="W99" s="181"/>
      <c r="X99" s="181"/>
    </row>
    <row r="100" spans="1:24" s="180" customFormat="1" x14ac:dyDescent="0.2">
      <c r="A100" s="181"/>
      <c r="B100" s="181"/>
      <c r="C100" s="181"/>
      <c r="D100" s="181"/>
      <c r="E100" s="154" t="s">
        <v>591</v>
      </c>
      <c r="F100" s="403"/>
      <c r="G100" s="109" t="s">
        <v>155</v>
      </c>
      <c r="H100" s="154"/>
      <c r="I100" s="181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81"/>
      <c r="U100" s="181"/>
      <c r="V100" s="181"/>
      <c r="W100" s="181"/>
      <c r="X100" s="181"/>
    </row>
    <row r="101" spans="1:24" s="180" customFormat="1" x14ac:dyDescent="0.2">
      <c r="A101" s="181"/>
      <c r="B101" s="181"/>
      <c r="C101" s="181"/>
      <c r="D101" s="181"/>
      <c r="E101" s="154" t="s">
        <v>592</v>
      </c>
      <c r="F101" s="403"/>
      <c r="G101" s="109" t="s">
        <v>155</v>
      </c>
      <c r="H101" s="154"/>
      <c r="I101" s="181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81"/>
      <c r="U101" s="181"/>
      <c r="V101" s="181"/>
      <c r="W101" s="181"/>
      <c r="X101" s="181"/>
    </row>
    <row r="102" spans="1:24" s="180" customFormat="1" x14ac:dyDescent="0.2">
      <c r="A102" s="181"/>
      <c r="B102" s="181"/>
      <c r="C102" s="181"/>
      <c r="D102" s="181"/>
      <c r="E102" s="154" t="s">
        <v>593</v>
      </c>
      <c r="F102" s="403"/>
      <c r="G102" s="109" t="s">
        <v>155</v>
      </c>
      <c r="H102" s="154"/>
      <c r="I102" s="181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81"/>
      <c r="U102" s="181"/>
      <c r="V102" s="181"/>
      <c r="W102" s="181"/>
      <c r="X102" s="181"/>
    </row>
    <row r="103" spans="1:24" s="180" customFormat="1" x14ac:dyDescent="0.2">
      <c r="A103" s="181"/>
      <c r="B103" s="181"/>
      <c r="C103" s="181"/>
      <c r="D103" s="181"/>
      <c r="E103" s="154" t="s">
        <v>594</v>
      </c>
      <c r="F103" s="403"/>
      <c r="G103" s="109" t="s">
        <v>155</v>
      </c>
      <c r="H103" s="154"/>
      <c r="I103" s="181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81"/>
      <c r="U103" s="181"/>
      <c r="V103" s="181"/>
      <c r="W103" s="181"/>
      <c r="X103" s="181"/>
    </row>
    <row r="104" spans="1:24" s="180" customFormat="1" x14ac:dyDescent="0.2">
      <c r="A104" s="181"/>
      <c r="B104" s="181"/>
      <c r="C104" s="181"/>
      <c r="D104" s="181"/>
      <c r="E104" s="154" t="s">
        <v>595</v>
      </c>
      <c r="F104" s="403"/>
      <c r="G104" s="109" t="s">
        <v>155</v>
      </c>
      <c r="H104" s="154"/>
      <c r="I104" s="181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81"/>
      <c r="U104" s="181"/>
      <c r="V104" s="181"/>
      <c r="W104" s="181"/>
      <c r="X104" s="181"/>
    </row>
    <row r="105" spans="1:24" s="180" customFormat="1" x14ac:dyDescent="0.2">
      <c r="A105" s="181"/>
      <c r="B105" s="181"/>
      <c r="C105" s="181"/>
      <c r="D105" s="181"/>
      <c r="E105" s="154" t="s">
        <v>596</v>
      </c>
      <c r="F105" s="403"/>
      <c r="G105" s="109" t="s">
        <v>155</v>
      </c>
      <c r="H105" s="154"/>
      <c r="I105" s="181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81"/>
      <c r="U105" s="181"/>
      <c r="V105" s="181"/>
      <c r="W105" s="181"/>
      <c r="X105" s="181"/>
    </row>
    <row r="106" spans="1:24" s="180" customFormat="1" x14ac:dyDescent="0.2">
      <c r="A106" s="181"/>
      <c r="B106" s="181"/>
      <c r="C106" s="181"/>
      <c r="D106" s="181"/>
      <c r="E106" s="154" t="s">
        <v>597</v>
      </c>
      <c r="F106" s="403"/>
      <c r="G106" s="109" t="s">
        <v>155</v>
      </c>
      <c r="H106" s="154"/>
      <c r="I106" s="181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81"/>
      <c r="U106" s="181"/>
      <c r="V106" s="181"/>
      <c r="W106" s="181"/>
      <c r="X106" s="181"/>
    </row>
    <row r="107" spans="1:24" s="180" customFormat="1" x14ac:dyDescent="0.2">
      <c r="A107" s="181"/>
      <c r="B107" s="181"/>
      <c r="C107" s="181"/>
      <c r="D107" s="181"/>
      <c r="E107" s="154" t="s">
        <v>598</v>
      </c>
      <c r="F107" s="378"/>
      <c r="G107" s="109" t="s">
        <v>155</v>
      </c>
      <c r="H107" s="154"/>
      <c r="I107" s="181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81"/>
      <c r="U107" s="181"/>
      <c r="V107" s="181"/>
      <c r="W107" s="181"/>
      <c r="X107" s="181"/>
    </row>
    <row r="108" spans="1:24" s="180" customFormat="1" x14ac:dyDescent="0.2">
      <c r="A108" s="181"/>
      <c r="B108" s="181"/>
      <c r="C108" s="181"/>
      <c r="D108" s="181"/>
      <c r="E108" s="154"/>
      <c r="F108" s="154"/>
      <c r="G108" s="109"/>
      <c r="H108" s="154"/>
      <c r="I108" s="181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81"/>
      <c r="U108" s="181"/>
      <c r="V108" s="181"/>
      <c r="W108" s="181"/>
      <c r="X108" s="181"/>
    </row>
    <row r="109" spans="1:24" s="180" customFormat="1" x14ac:dyDescent="0.2">
      <c r="A109" s="181"/>
      <c r="B109" s="181"/>
      <c r="C109" s="181"/>
      <c r="D109" s="181"/>
      <c r="E109" s="154" t="s">
        <v>599</v>
      </c>
      <c r="F109" s="403"/>
      <c r="G109" s="109" t="s">
        <v>155</v>
      </c>
      <c r="H109" s="154"/>
      <c r="I109" s="181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81"/>
      <c r="U109" s="181"/>
      <c r="V109" s="181"/>
      <c r="W109" s="181"/>
      <c r="X109" s="181"/>
    </row>
    <row r="110" spans="1:24" s="180" customFormat="1" x14ac:dyDescent="0.2">
      <c r="A110" s="181"/>
      <c r="B110" s="181"/>
      <c r="C110" s="181"/>
      <c r="D110" s="181"/>
      <c r="E110" s="154"/>
      <c r="F110" s="154"/>
      <c r="G110" s="154"/>
      <c r="H110" s="154"/>
      <c r="I110" s="181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81"/>
      <c r="U110" s="181"/>
      <c r="V110" s="181"/>
      <c r="W110" s="181"/>
      <c r="X110" s="181"/>
    </row>
    <row r="111" spans="1:24" s="180" customFormat="1" x14ac:dyDescent="0.2">
      <c r="A111" s="181"/>
      <c r="B111" s="185" t="s">
        <v>600</v>
      </c>
      <c r="C111" s="181"/>
      <c r="D111" s="181"/>
      <c r="E111" s="154"/>
      <c r="F111" s="154"/>
      <c r="G111" s="154"/>
      <c r="H111" s="154"/>
      <c r="I111" s="181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81"/>
      <c r="U111" s="181"/>
      <c r="V111" s="181"/>
      <c r="W111" s="181"/>
      <c r="X111" s="181"/>
    </row>
    <row r="112" spans="1:24" s="180" customFormat="1" x14ac:dyDescent="0.2">
      <c r="A112" s="181"/>
      <c r="B112" s="181"/>
      <c r="C112" s="181"/>
      <c r="D112" s="181"/>
      <c r="E112" s="154"/>
      <c r="F112" s="154"/>
      <c r="G112" s="154"/>
      <c r="H112" s="154"/>
      <c r="I112" s="181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81"/>
      <c r="U112" s="181"/>
      <c r="V112" s="181"/>
      <c r="W112" s="181"/>
      <c r="X112" s="181"/>
    </row>
    <row r="113" spans="1:25" s="180" customFormat="1" x14ac:dyDescent="0.2">
      <c r="A113" s="181"/>
      <c r="B113" s="181"/>
      <c r="C113" s="181"/>
      <c r="D113" s="186" t="s">
        <v>164</v>
      </c>
      <c r="E113" s="154"/>
      <c r="F113" s="154"/>
      <c r="G113" s="154"/>
      <c r="H113" s="154"/>
      <c r="I113" s="181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81"/>
      <c r="U113" s="181"/>
      <c r="V113" s="181"/>
      <c r="W113" s="181"/>
      <c r="X113" s="181"/>
    </row>
    <row r="114" spans="1:25" s="180" customFormat="1" x14ac:dyDescent="0.2">
      <c r="A114" s="181"/>
      <c r="B114" s="181"/>
      <c r="C114" s="181"/>
      <c r="D114" s="186"/>
      <c r="E114" s="181" t="s">
        <v>601</v>
      </c>
      <c r="F114" s="181"/>
      <c r="G114" s="181" t="s">
        <v>602</v>
      </c>
      <c r="H114" s="181"/>
      <c r="I114" s="181"/>
      <c r="J114" s="153"/>
      <c r="K114" s="153"/>
      <c r="L114" s="153"/>
      <c r="M114" s="153"/>
      <c r="N114" s="153"/>
      <c r="O114" s="239"/>
      <c r="P114" s="153"/>
      <c r="Q114" s="153"/>
      <c r="R114" s="153"/>
      <c r="S114" s="368"/>
      <c r="T114" s="153"/>
      <c r="U114" s="153"/>
      <c r="V114" s="153"/>
      <c r="W114" s="153"/>
      <c r="X114" s="153"/>
      <c r="Y114" s="154"/>
    </row>
    <row r="115" spans="1:25" s="87" customFormat="1" x14ac:dyDescent="0.2">
      <c r="D115" s="191"/>
      <c r="E115" s="95" t="s">
        <v>338</v>
      </c>
      <c r="F115" s="95"/>
      <c r="G115" s="95" t="s">
        <v>584</v>
      </c>
      <c r="H115" s="95"/>
      <c r="J115" s="192"/>
      <c r="K115" s="192"/>
      <c r="L115" s="192"/>
      <c r="M115" s="192"/>
      <c r="N115" s="192"/>
      <c r="O115" s="192"/>
      <c r="P115" s="153"/>
      <c r="Q115" s="153"/>
      <c r="R115" s="153"/>
      <c r="S115" s="153"/>
      <c r="T115" s="368"/>
      <c r="U115" s="368"/>
      <c r="V115" s="368"/>
      <c r="W115" s="368"/>
      <c r="X115" s="368"/>
      <c r="Y115" s="154"/>
    </row>
    <row r="116" spans="1:25" s="180" customFormat="1" x14ac:dyDescent="0.2">
      <c r="A116" s="181"/>
      <c r="B116" s="181"/>
      <c r="C116" s="181"/>
      <c r="D116" s="186"/>
      <c r="E116" s="154"/>
      <c r="F116" s="154"/>
      <c r="G116" s="154"/>
      <c r="H116" s="154"/>
      <c r="I116" s="181"/>
      <c r="J116" s="154"/>
      <c r="K116" s="154"/>
      <c r="L116" s="154"/>
      <c r="M116" s="154"/>
      <c r="N116" s="154"/>
      <c r="O116" s="154"/>
      <c r="P116" s="238"/>
      <c r="Q116" s="238"/>
      <c r="R116" s="238"/>
      <c r="S116" s="238"/>
      <c r="T116" s="238"/>
      <c r="U116" s="238"/>
      <c r="V116" s="238"/>
      <c r="W116" s="181"/>
      <c r="X116" s="181"/>
      <c r="Y116" s="181"/>
    </row>
    <row r="117" spans="1:25" s="180" customFormat="1" x14ac:dyDescent="0.2">
      <c r="A117" s="181"/>
      <c r="B117" s="181"/>
      <c r="C117" s="181"/>
      <c r="D117" s="186" t="s">
        <v>168</v>
      </c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54"/>
      <c r="P117" s="238"/>
      <c r="Q117" s="238"/>
      <c r="R117" s="238"/>
      <c r="S117" s="238"/>
      <c r="T117" s="238"/>
      <c r="U117" s="238"/>
      <c r="V117" s="238"/>
      <c r="W117" s="181"/>
      <c r="X117" s="181"/>
      <c r="Y117" s="181"/>
    </row>
    <row r="118" spans="1:25" s="180" customFormat="1" x14ac:dyDescent="0.2">
      <c r="A118" s="181"/>
      <c r="B118" s="181"/>
      <c r="C118" s="181"/>
      <c r="D118" s="186"/>
      <c r="E118" s="181" t="s">
        <v>603</v>
      </c>
      <c r="F118" s="181"/>
      <c r="G118" s="181" t="s">
        <v>602</v>
      </c>
      <c r="H118" s="181"/>
      <c r="I118" s="181"/>
      <c r="J118" s="153"/>
      <c r="K118" s="153"/>
      <c r="L118" s="153"/>
      <c r="M118" s="153"/>
      <c r="N118" s="153"/>
      <c r="O118" s="239"/>
      <c r="P118" s="239"/>
      <c r="Q118" s="239"/>
      <c r="R118" s="239"/>
      <c r="S118" s="368"/>
      <c r="T118" s="239"/>
      <c r="U118" s="239"/>
      <c r="V118" s="239"/>
      <c r="W118" s="153"/>
      <c r="X118" s="153"/>
      <c r="Y118" s="154"/>
    </row>
    <row r="119" spans="1:25" s="87" customFormat="1" x14ac:dyDescent="0.2">
      <c r="D119" s="191"/>
      <c r="E119" s="95" t="s">
        <v>342</v>
      </c>
      <c r="F119" s="95"/>
      <c r="G119" s="95" t="s">
        <v>584</v>
      </c>
      <c r="H119" s="95"/>
      <c r="J119" s="192"/>
      <c r="K119" s="192"/>
      <c r="L119" s="192"/>
      <c r="M119" s="192"/>
      <c r="N119" s="192"/>
      <c r="O119" s="192"/>
      <c r="P119" s="153"/>
      <c r="Q119" s="153"/>
      <c r="R119" s="153"/>
      <c r="S119" s="153"/>
      <c r="T119" s="368"/>
      <c r="U119" s="368"/>
      <c r="V119" s="368"/>
      <c r="W119" s="368"/>
      <c r="X119" s="368"/>
      <c r="Y119" s="154"/>
    </row>
    <row r="120" spans="1:25" s="180" customFormat="1" x14ac:dyDescent="0.2">
      <c r="A120" s="181"/>
      <c r="B120" s="181"/>
      <c r="C120" s="181"/>
      <c r="D120" s="186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54"/>
      <c r="P120" s="238"/>
      <c r="Q120" s="238"/>
      <c r="R120" s="238"/>
      <c r="S120" s="238"/>
      <c r="T120" s="238"/>
      <c r="U120" s="238"/>
      <c r="V120" s="238"/>
      <c r="W120" s="181"/>
      <c r="X120" s="181"/>
      <c r="Y120" s="181"/>
    </row>
    <row r="121" spans="1:25" s="180" customFormat="1" x14ac:dyDescent="0.2">
      <c r="A121" s="181"/>
      <c r="B121" s="181"/>
      <c r="C121" s="181"/>
      <c r="D121" s="186" t="s">
        <v>171</v>
      </c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54"/>
      <c r="P121" s="238"/>
      <c r="Q121" s="238"/>
      <c r="R121" s="238"/>
      <c r="S121" s="238"/>
      <c r="T121" s="238"/>
      <c r="U121" s="238"/>
      <c r="V121" s="238"/>
      <c r="W121" s="181"/>
      <c r="X121" s="181"/>
      <c r="Y121" s="181"/>
    </row>
    <row r="122" spans="1:25" s="180" customFormat="1" x14ac:dyDescent="0.2">
      <c r="A122" s="181"/>
      <c r="B122" s="181"/>
      <c r="C122" s="181"/>
      <c r="D122" s="186"/>
      <c r="E122" s="181" t="s">
        <v>604</v>
      </c>
      <c r="F122" s="181"/>
      <c r="G122" s="181" t="s">
        <v>602</v>
      </c>
      <c r="H122" s="181"/>
      <c r="I122" s="181"/>
      <c r="J122" s="153"/>
      <c r="K122" s="153"/>
      <c r="L122" s="153"/>
      <c r="M122" s="153"/>
      <c r="N122" s="153"/>
      <c r="O122" s="239"/>
      <c r="P122" s="239"/>
      <c r="Q122" s="239"/>
      <c r="R122" s="239"/>
      <c r="S122" s="368"/>
      <c r="T122" s="448"/>
      <c r="U122" s="239"/>
      <c r="V122" s="239"/>
      <c r="W122" s="153"/>
      <c r="X122" s="153"/>
      <c r="Y122" s="154"/>
    </row>
    <row r="123" spans="1:25" s="87" customFormat="1" x14ac:dyDescent="0.2">
      <c r="D123" s="191"/>
      <c r="E123" s="95" t="s">
        <v>346</v>
      </c>
      <c r="F123" s="95"/>
      <c r="G123" s="95" t="s">
        <v>584</v>
      </c>
      <c r="H123" s="95"/>
      <c r="J123" s="192"/>
      <c r="K123" s="192"/>
      <c r="L123" s="192"/>
      <c r="M123" s="192"/>
      <c r="N123" s="192"/>
      <c r="O123" s="192"/>
      <c r="P123" s="153"/>
      <c r="Q123" s="153"/>
      <c r="R123" s="153"/>
      <c r="S123" s="153"/>
      <c r="T123" s="368"/>
      <c r="U123" s="368"/>
      <c r="V123" s="464"/>
      <c r="W123" s="464"/>
      <c r="X123" s="464"/>
      <c r="Y123" s="238"/>
    </row>
    <row r="124" spans="1:25" s="180" customFormat="1" x14ac:dyDescent="0.2">
      <c r="A124" s="181"/>
      <c r="B124" s="181"/>
      <c r="C124" s="181"/>
      <c r="D124" s="186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54"/>
      <c r="P124" s="238"/>
      <c r="Q124" s="238"/>
      <c r="R124" s="238"/>
      <c r="S124" s="238"/>
      <c r="T124" s="238"/>
      <c r="U124" s="238"/>
      <c r="V124" s="238"/>
      <c r="W124" s="181"/>
      <c r="X124" s="181"/>
      <c r="Y124" s="181"/>
    </row>
    <row r="125" spans="1:25" s="180" customFormat="1" x14ac:dyDescent="0.2">
      <c r="A125" s="181"/>
      <c r="B125" s="181"/>
      <c r="C125" s="181"/>
      <c r="D125" s="186" t="s">
        <v>177</v>
      </c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54"/>
      <c r="P125" s="238"/>
      <c r="Q125" s="238"/>
      <c r="R125" s="238"/>
      <c r="S125" s="238"/>
      <c r="T125" s="238"/>
      <c r="U125" s="238"/>
      <c r="V125" s="238"/>
      <c r="W125" s="181"/>
      <c r="X125" s="181"/>
      <c r="Y125" s="181"/>
    </row>
    <row r="126" spans="1:25" s="180" customFormat="1" x14ac:dyDescent="0.2">
      <c r="A126" s="181"/>
      <c r="B126" s="181"/>
      <c r="C126" s="181"/>
      <c r="D126" s="186"/>
      <c r="E126" s="154" t="s">
        <v>605</v>
      </c>
      <c r="F126" s="154"/>
      <c r="G126" s="154" t="s">
        <v>606</v>
      </c>
      <c r="H126" s="154"/>
      <c r="I126" s="181"/>
      <c r="J126" s="153"/>
      <c r="K126" s="153"/>
      <c r="L126" s="153"/>
      <c r="M126" s="153"/>
      <c r="N126" s="153"/>
      <c r="O126" s="153"/>
      <c r="P126" s="239"/>
      <c r="Q126" s="239"/>
      <c r="R126" s="239"/>
      <c r="S126" s="239"/>
      <c r="T126" s="368"/>
      <c r="U126" s="464"/>
      <c r="V126" s="464"/>
      <c r="W126" s="464"/>
      <c r="X126" s="464"/>
      <c r="Y126" s="238"/>
    </row>
    <row r="127" spans="1:25" s="180" customFormat="1" x14ac:dyDescent="0.2">
      <c r="A127" s="181"/>
      <c r="B127" s="181"/>
      <c r="C127" s="181"/>
      <c r="D127" s="186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54"/>
      <c r="P127" s="388"/>
      <c r="Q127" s="388"/>
      <c r="R127" s="388"/>
      <c r="S127" s="388"/>
      <c r="T127" s="388"/>
      <c r="U127" s="388"/>
      <c r="V127" s="388"/>
      <c r="W127" s="181"/>
      <c r="X127" s="181"/>
      <c r="Y127" s="181"/>
    </row>
    <row r="128" spans="1:25" s="180" customFormat="1" x14ac:dyDescent="0.2">
      <c r="A128" s="181"/>
      <c r="B128" s="181"/>
      <c r="C128" s="181"/>
      <c r="D128" s="186" t="s">
        <v>173</v>
      </c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54"/>
      <c r="P128" s="238"/>
      <c r="Q128" s="238"/>
      <c r="R128" s="238"/>
      <c r="S128" s="238"/>
      <c r="T128" s="238"/>
      <c r="U128" s="238"/>
      <c r="V128" s="238"/>
      <c r="W128" s="181"/>
      <c r="X128" s="181"/>
      <c r="Y128" s="181"/>
    </row>
    <row r="129" spans="1:25" s="180" customFormat="1" x14ac:dyDescent="0.2">
      <c r="A129" s="181"/>
      <c r="B129" s="181"/>
      <c r="C129" s="181"/>
      <c r="D129" s="186"/>
      <c r="E129" s="154" t="s">
        <v>349</v>
      </c>
      <c r="F129" s="154"/>
      <c r="G129" s="154" t="s">
        <v>607</v>
      </c>
      <c r="H129" s="154"/>
      <c r="I129" s="181"/>
      <c r="J129" s="153"/>
      <c r="K129" s="153"/>
      <c r="L129" s="153"/>
      <c r="M129" s="153"/>
      <c r="N129" s="153"/>
      <c r="O129" s="153"/>
      <c r="P129" s="239"/>
      <c r="Q129" s="239"/>
      <c r="R129" s="239"/>
      <c r="S129" s="239"/>
      <c r="T129" s="368"/>
      <c r="U129" s="464"/>
      <c r="V129" s="464"/>
      <c r="W129" s="464"/>
      <c r="X129" s="464"/>
      <c r="Y129" s="238"/>
    </row>
    <row r="130" spans="1:25" s="180" customFormat="1" x14ac:dyDescent="0.2">
      <c r="A130" s="181"/>
      <c r="B130" s="181"/>
      <c r="C130" s="181"/>
      <c r="D130" s="186"/>
      <c r="E130" s="154" t="s">
        <v>307</v>
      </c>
      <c r="F130" s="154"/>
      <c r="G130" s="154" t="s">
        <v>308</v>
      </c>
      <c r="H130" s="154"/>
      <c r="I130" s="181"/>
      <c r="J130" s="153"/>
      <c r="K130" s="153"/>
      <c r="L130" s="153"/>
      <c r="M130" s="153"/>
      <c r="N130" s="153"/>
      <c r="O130" s="153"/>
      <c r="P130" s="239"/>
      <c r="Q130" s="239"/>
      <c r="R130" s="239"/>
      <c r="S130" s="239"/>
      <c r="T130" s="368"/>
      <c r="U130" s="464"/>
      <c r="V130" s="464"/>
      <c r="W130" s="464"/>
      <c r="X130" s="464"/>
      <c r="Y130" s="238"/>
    </row>
    <row r="131" spans="1:25" s="180" customFormat="1" x14ac:dyDescent="0.2">
      <c r="A131" s="181"/>
      <c r="B131" s="181"/>
      <c r="C131" s="181"/>
      <c r="D131" s="186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1"/>
      <c r="X131" s="181"/>
      <c r="Y131" s="181"/>
    </row>
    <row r="132" spans="1:25" s="180" customFormat="1" x14ac:dyDescent="0.2">
      <c r="A132" s="181"/>
      <c r="B132" s="181"/>
      <c r="C132" s="181"/>
      <c r="D132" s="155" t="s">
        <v>175</v>
      </c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  <c r="Y132" s="181"/>
    </row>
    <row r="133" spans="1:25" s="180" customFormat="1" x14ac:dyDescent="0.2">
      <c r="A133" s="181"/>
      <c r="B133" s="181"/>
      <c r="C133" s="181"/>
      <c r="D133" s="186"/>
      <c r="E133" s="181" t="s">
        <v>314</v>
      </c>
      <c r="F133" s="154"/>
      <c r="G133" s="181" t="s">
        <v>233</v>
      </c>
      <c r="H133" s="154"/>
      <c r="I133" s="181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465"/>
      <c r="U133" s="465"/>
      <c r="V133" s="465"/>
      <c r="W133" s="465"/>
      <c r="X133" s="465"/>
    </row>
    <row r="134" spans="1:25" s="180" customFormat="1" x14ac:dyDescent="0.2">
      <c r="A134" s="181"/>
      <c r="B134" s="181"/>
      <c r="C134" s="181"/>
      <c r="D134" s="186"/>
      <c r="E134" s="181" t="s">
        <v>316</v>
      </c>
      <c r="F134" s="154"/>
      <c r="G134" s="181" t="s">
        <v>233</v>
      </c>
      <c r="H134" s="154"/>
      <c r="I134" s="181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465"/>
      <c r="U134" s="465"/>
      <c r="V134" s="465"/>
      <c r="W134" s="465"/>
      <c r="X134" s="465"/>
    </row>
    <row r="135" spans="1:25" s="180" customFormat="1" x14ac:dyDescent="0.2">
      <c r="A135" s="181"/>
      <c r="B135" s="181"/>
      <c r="C135" s="181"/>
      <c r="D135" s="186"/>
      <c r="E135" s="181"/>
      <c r="F135" s="154"/>
      <c r="G135" s="181"/>
      <c r="H135" s="154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</row>
    <row r="136" spans="1:25" s="180" customFormat="1" x14ac:dyDescent="0.2">
      <c r="A136" s="181"/>
      <c r="B136" s="181"/>
      <c r="C136" s="181"/>
      <c r="D136" s="186"/>
      <c r="E136" s="181" t="s">
        <v>318</v>
      </c>
      <c r="F136" s="154"/>
      <c r="G136" s="416" t="s">
        <v>308</v>
      </c>
      <c r="H136" s="154"/>
      <c r="I136" s="181"/>
      <c r="J136" s="153"/>
      <c r="K136" s="153"/>
      <c r="L136" s="153"/>
      <c r="M136" s="153"/>
      <c r="N136" s="153"/>
      <c r="O136" s="239"/>
      <c r="P136" s="239"/>
      <c r="Q136" s="239"/>
      <c r="R136" s="239"/>
      <c r="S136" s="239"/>
      <c r="T136" s="368"/>
      <c r="U136" s="464"/>
      <c r="V136" s="464"/>
      <c r="W136" s="464"/>
      <c r="X136" s="464"/>
    </row>
    <row r="137" spans="1:25" s="180" customFormat="1" x14ac:dyDescent="0.2">
      <c r="A137" s="181"/>
      <c r="B137" s="181"/>
      <c r="C137" s="181"/>
      <c r="D137" s="186"/>
      <c r="E137" s="181" t="s">
        <v>320</v>
      </c>
      <c r="F137" s="154"/>
      <c r="G137" s="416" t="s">
        <v>308</v>
      </c>
      <c r="H137" s="154"/>
      <c r="I137" s="181"/>
      <c r="J137" s="153"/>
      <c r="K137" s="153"/>
      <c r="L137" s="153"/>
      <c r="M137" s="153"/>
      <c r="N137" s="153"/>
      <c r="O137" s="239"/>
      <c r="P137" s="239"/>
      <c r="Q137" s="239"/>
      <c r="R137" s="239"/>
      <c r="S137" s="239"/>
      <c r="T137" s="368"/>
      <c r="U137" s="464"/>
      <c r="V137" s="464"/>
      <c r="W137" s="464"/>
      <c r="X137" s="464"/>
    </row>
    <row r="138" spans="1:25" s="181" customFormat="1" x14ac:dyDescent="0.2">
      <c r="D138" s="186"/>
      <c r="F138" s="154"/>
      <c r="H138" s="154"/>
    </row>
    <row r="139" spans="1:25" s="180" customFormat="1" x14ac:dyDescent="0.2">
      <c r="A139" s="181"/>
      <c r="B139" s="181"/>
      <c r="C139" s="181"/>
      <c r="D139" s="186"/>
      <c r="E139" s="181" t="s">
        <v>310</v>
      </c>
      <c r="F139" s="154"/>
      <c r="G139" s="181" t="s">
        <v>303</v>
      </c>
      <c r="H139" s="154"/>
      <c r="I139" s="181"/>
      <c r="J139" s="153"/>
      <c r="K139" s="153"/>
      <c r="L139" s="153"/>
      <c r="M139" s="153"/>
      <c r="N139" s="153"/>
      <c r="O139" s="239"/>
      <c r="P139" s="239"/>
      <c r="Q139" s="239"/>
      <c r="R139" s="239"/>
      <c r="S139" s="239"/>
      <c r="T139" s="368"/>
      <c r="U139" s="464"/>
      <c r="V139" s="464"/>
      <c r="W139" s="464"/>
      <c r="X139" s="464"/>
    </row>
    <row r="140" spans="1:25" s="180" customFormat="1" x14ac:dyDescent="0.2">
      <c r="A140" s="181"/>
      <c r="B140" s="181"/>
      <c r="C140" s="181"/>
      <c r="D140" s="186"/>
      <c r="E140" s="181" t="s">
        <v>312</v>
      </c>
      <c r="F140" s="154"/>
      <c r="G140" s="181" t="s">
        <v>303</v>
      </c>
      <c r="H140" s="154"/>
      <c r="I140" s="181"/>
      <c r="J140" s="153"/>
      <c r="K140" s="153"/>
      <c r="L140" s="153"/>
      <c r="M140" s="153"/>
      <c r="N140" s="153"/>
      <c r="O140" s="239"/>
      <c r="P140" s="239"/>
      <c r="Q140" s="239"/>
      <c r="R140" s="239"/>
      <c r="S140" s="239"/>
      <c r="T140" s="368"/>
      <c r="U140" s="464"/>
      <c r="V140" s="464"/>
      <c r="W140" s="464"/>
      <c r="X140" s="464"/>
    </row>
    <row r="141" spans="1:25" s="180" customFormat="1" x14ac:dyDescent="0.2">
      <c r="A141" s="181"/>
      <c r="B141" s="181"/>
      <c r="C141" s="181"/>
      <c r="D141" s="186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  <c r="Y141" s="181"/>
    </row>
    <row r="142" spans="1:25" s="180" customFormat="1" x14ac:dyDescent="0.2">
      <c r="A142" s="181"/>
      <c r="B142" s="181"/>
      <c r="C142" s="181"/>
      <c r="D142" s="186" t="s">
        <v>179</v>
      </c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  <c r="Y142" s="181"/>
    </row>
    <row r="143" spans="1:25" s="180" customFormat="1" x14ac:dyDescent="0.2">
      <c r="A143" s="181"/>
      <c r="B143" s="181"/>
      <c r="C143" s="181"/>
      <c r="D143" s="186"/>
      <c r="E143" s="181" t="s">
        <v>608</v>
      </c>
      <c r="F143" s="181"/>
      <c r="G143" s="181" t="s">
        <v>602</v>
      </c>
      <c r="H143" s="181"/>
      <c r="I143" s="181"/>
      <c r="J143" s="153"/>
      <c r="K143" s="153"/>
      <c r="L143" s="153"/>
      <c r="M143" s="153"/>
      <c r="N143" s="153"/>
      <c r="O143" s="153"/>
      <c r="P143" s="153"/>
      <c r="Q143" s="153"/>
      <c r="R143" s="153"/>
      <c r="S143" s="368"/>
      <c r="T143" s="153"/>
      <c r="U143" s="153"/>
      <c r="V143" s="153"/>
      <c r="W143" s="153"/>
      <c r="X143" s="153"/>
      <c r="Y143" s="154"/>
    </row>
    <row r="144" spans="1:25" s="87" customFormat="1" x14ac:dyDescent="0.2">
      <c r="D144" s="191"/>
      <c r="E144" s="95" t="s">
        <v>359</v>
      </c>
      <c r="F144" s="95"/>
      <c r="G144" s="95" t="s">
        <v>584</v>
      </c>
      <c r="H144" s="95"/>
      <c r="J144" s="192"/>
      <c r="K144" s="192"/>
      <c r="L144" s="192"/>
      <c r="M144" s="192"/>
      <c r="N144" s="192"/>
      <c r="O144" s="192"/>
      <c r="P144" s="153"/>
      <c r="Q144" s="153"/>
      <c r="R144" s="153"/>
      <c r="S144" s="153"/>
      <c r="T144" s="368"/>
      <c r="U144" s="368"/>
      <c r="V144" s="368"/>
      <c r="W144" s="368"/>
      <c r="X144" s="368"/>
      <c r="Y144" s="154"/>
    </row>
    <row r="145" spans="1:25" s="87" customFormat="1" x14ac:dyDescent="0.2">
      <c r="D145" s="191"/>
      <c r="E145" s="95"/>
      <c r="F145" s="95"/>
      <c r="G145" s="95"/>
      <c r="H145" s="95"/>
      <c r="J145" s="95"/>
      <c r="K145" s="95"/>
      <c r="L145" s="95"/>
      <c r="M145" s="95"/>
      <c r="N145" s="95"/>
      <c r="O145" s="95"/>
      <c r="P145" s="154"/>
      <c r="Q145" s="154"/>
      <c r="R145" s="154"/>
      <c r="S145" s="154"/>
      <c r="T145" s="154"/>
      <c r="U145" s="154"/>
      <c r="V145" s="154"/>
      <c r="W145" s="154"/>
      <c r="X145" s="154"/>
      <c r="Y145" s="154"/>
    </row>
    <row r="146" spans="1:25" s="87" customFormat="1" x14ac:dyDescent="0.2">
      <c r="A146" s="181"/>
      <c r="B146" s="181"/>
      <c r="C146" s="181"/>
      <c r="D146" s="186" t="s">
        <v>181</v>
      </c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  <c r="Y146" s="154"/>
    </row>
    <row r="147" spans="1:25" s="87" customFormat="1" x14ac:dyDescent="0.2">
      <c r="A147" s="181"/>
      <c r="B147" s="181"/>
      <c r="C147" s="181"/>
      <c r="D147" s="186"/>
      <c r="E147" s="181" t="s">
        <v>609</v>
      </c>
      <c r="F147" s="181"/>
      <c r="G147" s="181" t="s">
        <v>602</v>
      </c>
      <c r="H147" s="181"/>
      <c r="I147" s="181"/>
      <c r="J147" s="153"/>
      <c r="K147" s="153"/>
      <c r="L147" s="153"/>
      <c r="M147" s="153"/>
      <c r="N147" s="153"/>
      <c r="O147" s="153"/>
      <c r="P147" s="153"/>
      <c r="Q147" s="153"/>
      <c r="R147" s="153"/>
      <c r="S147" s="368"/>
      <c r="T147" s="153"/>
      <c r="U147" s="153"/>
      <c r="V147" s="153"/>
      <c r="W147" s="153"/>
      <c r="X147" s="153"/>
      <c r="Y147" s="154"/>
    </row>
    <row r="148" spans="1:25" s="87" customFormat="1" x14ac:dyDescent="0.2">
      <c r="D148" s="191"/>
      <c r="E148" s="95" t="s">
        <v>362</v>
      </c>
      <c r="F148" s="95"/>
      <c r="G148" s="95" t="s">
        <v>584</v>
      </c>
      <c r="H148" s="95"/>
      <c r="J148" s="192"/>
      <c r="K148" s="192"/>
      <c r="L148" s="192"/>
      <c r="M148" s="192"/>
      <c r="N148" s="192"/>
      <c r="O148" s="192"/>
      <c r="P148" s="153"/>
      <c r="Q148" s="153"/>
      <c r="R148" s="153"/>
      <c r="S148" s="153"/>
      <c r="T148" s="368"/>
      <c r="U148" s="368"/>
      <c r="V148" s="368"/>
      <c r="W148" s="368"/>
      <c r="X148" s="368"/>
      <c r="Y148" s="154"/>
    </row>
    <row r="149" spans="1:25" s="180" customFormat="1" x14ac:dyDescent="0.2">
      <c r="A149" s="181"/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</row>
    <row r="150" spans="1:25" s="401" customFormat="1" ht="13.5" x14ac:dyDescent="0.25">
      <c r="A150" s="209" t="s">
        <v>148</v>
      </c>
      <c r="B150" s="209"/>
      <c r="C150" s="209"/>
      <c r="D150" s="209"/>
      <c r="E150" s="209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</row>
    <row r="151" spans="1:25" s="180" customFormat="1" x14ac:dyDescent="0.2">
      <c r="A151" s="181"/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</row>
    <row r="152" spans="1:25" s="180" customFormat="1" x14ac:dyDescent="0.2">
      <c r="A152" s="181"/>
      <c r="B152" s="181"/>
      <c r="C152" s="181"/>
      <c r="D152" s="181"/>
      <c r="E152" s="154" t="s">
        <v>610</v>
      </c>
      <c r="F152" s="415"/>
      <c r="G152" s="154" t="s">
        <v>611</v>
      </c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1"/>
      <c r="U152" s="181"/>
      <c r="V152" s="181"/>
      <c r="W152" s="181"/>
      <c r="X152" s="181"/>
    </row>
    <row r="153" spans="1:25" s="180" customFormat="1" x14ac:dyDescent="0.2">
      <c r="A153" s="181"/>
      <c r="B153" s="181"/>
      <c r="C153" s="181"/>
      <c r="D153" s="181"/>
      <c r="E153" s="154"/>
      <c r="F153" s="154"/>
      <c r="G153" s="154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  <c r="S153" s="181"/>
      <c r="T153" s="181"/>
      <c r="U153" s="181"/>
      <c r="V153" s="181"/>
      <c r="W153" s="181"/>
      <c r="X153" s="181"/>
    </row>
    <row r="154" spans="1:25" s="180" customFormat="1" x14ac:dyDescent="0.2">
      <c r="A154" s="181"/>
      <c r="B154" s="181"/>
      <c r="C154" s="181"/>
      <c r="D154" s="181"/>
      <c r="E154" s="154" t="s">
        <v>612</v>
      </c>
      <c r="F154" s="415"/>
      <c r="G154" s="154" t="s">
        <v>611</v>
      </c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T154" s="181"/>
      <c r="U154" s="181"/>
      <c r="V154" s="181"/>
      <c r="W154" s="181"/>
      <c r="X154" s="181"/>
    </row>
    <row r="155" spans="1:25" s="180" customFormat="1" x14ac:dyDescent="0.2">
      <c r="A155" s="181"/>
      <c r="B155" s="181"/>
      <c r="C155" s="181"/>
      <c r="D155" s="181"/>
      <c r="E155" s="154"/>
      <c r="F155" s="154"/>
      <c r="G155" s="154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T155" s="181"/>
      <c r="U155" s="181"/>
      <c r="V155" s="181"/>
      <c r="W155" s="181"/>
      <c r="X155" s="181"/>
    </row>
    <row r="156" spans="1:25" s="180" customFormat="1" x14ac:dyDescent="0.2">
      <c r="A156" s="181"/>
      <c r="B156" s="181"/>
      <c r="C156" s="181"/>
      <c r="D156" s="181"/>
      <c r="E156" s="154" t="s">
        <v>613</v>
      </c>
      <c r="F156" s="415"/>
      <c r="G156" s="154" t="s">
        <v>611</v>
      </c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T156" s="181"/>
      <c r="U156" s="181"/>
      <c r="V156" s="181"/>
      <c r="W156" s="181"/>
      <c r="X156" s="181"/>
    </row>
    <row r="157" spans="1:25" s="180" customFormat="1" x14ac:dyDescent="0.2">
      <c r="A157" s="181"/>
      <c r="B157" s="181"/>
      <c r="C157" s="181"/>
      <c r="D157" s="181"/>
      <c r="E157" s="154" t="s">
        <v>614</v>
      </c>
      <c r="F157" s="463"/>
      <c r="G157" s="181" t="s">
        <v>615</v>
      </c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</row>
    <row r="158" spans="1:25" s="180" customFormat="1" x14ac:dyDescent="0.2">
      <c r="A158" s="181"/>
      <c r="B158" s="181"/>
      <c r="C158" s="181"/>
      <c r="D158" s="181"/>
      <c r="E158" s="154" t="s">
        <v>616</v>
      </c>
      <c r="F158" s="415"/>
      <c r="G158" s="154" t="s">
        <v>611</v>
      </c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1"/>
      <c r="U158" s="181"/>
      <c r="V158" s="181"/>
      <c r="W158" s="181"/>
      <c r="X158" s="181"/>
    </row>
    <row r="159" spans="1:25" s="180" customFormat="1" x14ac:dyDescent="0.2">
      <c r="A159" s="181"/>
      <c r="B159" s="181"/>
      <c r="C159" s="181"/>
      <c r="D159" s="181"/>
      <c r="E159" s="154"/>
      <c r="F159" s="193"/>
      <c r="G159" s="154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  <c r="S159" s="181"/>
      <c r="T159" s="181"/>
      <c r="U159" s="181"/>
      <c r="V159" s="181"/>
      <c r="W159" s="181"/>
      <c r="X159" s="181"/>
    </row>
    <row r="160" spans="1:25" s="180" customFormat="1" x14ac:dyDescent="0.2">
      <c r="A160" s="181"/>
      <c r="B160" s="181"/>
      <c r="C160" s="181"/>
      <c r="D160" s="181"/>
      <c r="E160" s="154" t="s">
        <v>617</v>
      </c>
      <c r="F160" s="415"/>
      <c r="G160" s="154" t="s">
        <v>611</v>
      </c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1"/>
      <c r="U160" s="181"/>
      <c r="V160" s="181"/>
      <c r="W160" s="181"/>
      <c r="X160" s="181"/>
    </row>
    <row r="161" spans="1:24" s="180" customFormat="1" x14ac:dyDescent="0.2">
      <c r="A161" s="181"/>
      <c r="B161" s="181"/>
      <c r="C161" s="181"/>
      <c r="D161" s="181"/>
      <c r="E161" s="154" t="s">
        <v>618</v>
      </c>
      <c r="F161" s="415"/>
      <c r="G161" s="154" t="s">
        <v>611</v>
      </c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</row>
    <row r="162" spans="1:24" s="180" customFormat="1" x14ac:dyDescent="0.2">
      <c r="A162" s="181"/>
      <c r="B162" s="181"/>
      <c r="C162" s="181"/>
      <c r="D162" s="181"/>
      <c r="E162" s="154" t="s">
        <v>619</v>
      </c>
      <c r="F162" s="463"/>
      <c r="G162" s="154" t="s">
        <v>620</v>
      </c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1"/>
      <c r="U162" s="181"/>
      <c r="V162" s="181"/>
    </row>
    <row r="163" spans="1:24" s="180" customFormat="1" x14ac:dyDescent="0.2">
      <c r="A163" s="181"/>
      <c r="B163" s="181"/>
      <c r="C163" s="181"/>
      <c r="D163" s="181"/>
      <c r="E163" s="154" t="s">
        <v>621</v>
      </c>
      <c r="F163" s="463"/>
      <c r="G163" s="154" t="s">
        <v>622</v>
      </c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  <c r="S163" s="181"/>
      <c r="T163" s="181"/>
      <c r="U163" s="181"/>
      <c r="V163" s="181"/>
    </row>
    <row r="164" spans="1:24" s="180" customFormat="1" x14ac:dyDescent="0.2">
      <c r="A164" s="181"/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</row>
    <row r="165" spans="1:24" s="402" customFormat="1" ht="13.5" x14ac:dyDescent="0.25">
      <c r="A165" s="208" t="s">
        <v>134</v>
      </c>
      <c r="B165" s="208"/>
      <c r="C165" s="208"/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</row>
    <row r="166" spans="1:24" x14ac:dyDescent="0.2"/>
    <row r="167" spans="1:24" x14ac:dyDescent="0.2"/>
    <row r="168" spans="1:24" x14ac:dyDescent="0.2"/>
    <row r="169" spans="1:24" x14ac:dyDescent="0.2"/>
    <row r="170" spans="1:24" x14ac:dyDescent="0.2"/>
    <row r="171" spans="1:24" x14ac:dyDescent="0.2"/>
    <row r="172" spans="1:24" x14ac:dyDescent="0.2"/>
    <row r="173" spans="1:24" x14ac:dyDescent="0.2"/>
    <row r="174" spans="1:24" x14ac:dyDescent="0.2"/>
    <row r="175" spans="1:24" x14ac:dyDescent="0.2"/>
    <row r="176" spans="1:24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</sheetData>
  <conditionalFormatting sqref="J3:X3">
    <cfRule type="cellIs" dxfId="75" priority="1" operator="equal">
      <formula>"Post-Fcst"</formula>
    </cfRule>
    <cfRule type="cellIs" dxfId="74" priority="2" operator="equal">
      <formula>"Post-Fcst Mod"</formula>
    </cfRule>
    <cfRule type="cellIs" dxfId="73" priority="3" operator="equal">
      <formula>"Forecast"</formula>
    </cfRule>
    <cfRule type="cellIs" dxfId="72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E3B43-DD7F-43B4-B34E-99FAA2C2207D}">
  <sheetPr>
    <tabColor rgb="FF857362"/>
    <pageSetUpPr fitToPage="1"/>
  </sheetPr>
  <dimension ref="A1:X196"/>
  <sheetViews>
    <sheetView showGridLines="0" zoomScale="80" zoomScaleNormal="80" workbookViewId="0">
      <pane xSplit="9" ySplit="5" topLeftCell="J6" activePane="bottomRight" state="frozen"/>
      <selection pane="topRight" activeCell="B4" sqref="B4"/>
      <selection pane="bottomLeft" activeCell="B4" sqref="B4"/>
      <selection pane="bottomRight"/>
    </sheetView>
  </sheetViews>
  <sheetFormatPr defaultColWidth="9.625" defaultRowHeight="12.75" zeroHeight="1" x14ac:dyDescent="0.2"/>
  <cols>
    <col min="1" max="1" width="36.625" style="109" customWidth="1"/>
    <col min="2" max="4" width="1.625" style="109" customWidth="1"/>
    <col min="5" max="5" width="101.125" style="109" customWidth="1"/>
    <col min="6" max="6" width="25.625" style="3" customWidth="1"/>
    <col min="7" max="7" width="15.625" style="109" customWidth="1"/>
    <col min="8" max="8" width="15.625" style="3" customWidth="1"/>
    <col min="9" max="9" width="2.625" style="3" customWidth="1"/>
    <col min="10" max="22" width="9.625" style="3" customWidth="1"/>
    <col min="23" max="16384" width="9.625" style="3"/>
  </cols>
  <sheetData>
    <row r="1" spans="1:24" s="84" customFormat="1" ht="29.25" x14ac:dyDescent="0.2">
      <c r="A1" s="111" t="str">
        <f ca="1" xml:space="preserve"> RIGHT(CELL("filename", $A$1), LEN(CELL("filename", $A$1)) - SEARCH("]", CELL("filename", $A$1)))</f>
        <v>InpActive</v>
      </c>
      <c r="B1" s="111"/>
      <c r="C1" s="111"/>
      <c r="D1" s="111"/>
      <c r="E1" s="111"/>
      <c r="F1" s="111"/>
      <c r="G1" s="111"/>
      <c r="H1" s="392" t="str">
        <f>InpActive!F9</f>
        <v>Anglian Water</v>
      </c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1:24" s="1" customFormat="1" ht="14.45" customHeight="1" x14ac:dyDescent="0.2">
      <c r="A2" s="119"/>
      <c r="B2" s="119"/>
      <c r="C2" s="119"/>
      <c r="D2" s="119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6" customFormat="1" x14ac:dyDescent="0.2">
      <c r="A3" s="119"/>
      <c r="B3" s="119"/>
      <c r="C3" s="119"/>
      <c r="D3" s="119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7" customFormat="1" x14ac:dyDescent="0.2">
      <c r="A4" s="20"/>
      <c r="B4" s="96"/>
      <c r="C4" s="139"/>
      <c r="D4" s="98"/>
      <c r="E4" s="150" t="str">
        <f>Time!E$106</f>
        <v>Financial Year Ending</v>
      </c>
      <c r="F4" s="120"/>
      <c r="G4" s="120"/>
      <c r="H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1" customFormat="1" x14ac:dyDescent="0.2">
      <c r="A5" s="109"/>
      <c r="B5" s="109"/>
      <c r="C5" s="109"/>
      <c r="D5" s="109"/>
      <c r="E5" s="120" t="str">
        <f>Time!E$10</f>
        <v>Model column counter</v>
      </c>
      <c r="F5" s="149" t="s">
        <v>532</v>
      </c>
      <c r="G5" s="149" t="s">
        <v>186</v>
      </c>
      <c r="H5" s="2" t="s">
        <v>533</v>
      </c>
      <c r="I5" s="3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1" customFormat="1" x14ac:dyDescent="0.2">
      <c r="A6" s="109"/>
      <c r="B6" s="109"/>
      <c r="C6" s="109"/>
      <c r="D6" s="109"/>
      <c r="E6" s="120"/>
      <c r="F6" s="149"/>
      <c r="G6" s="149"/>
      <c r="H6" s="2"/>
      <c r="I6" s="3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401" customFormat="1" ht="13.5" x14ac:dyDescent="0.25">
      <c r="A7" s="209" t="s">
        <v>74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</row>
    <row r="8" spans="1:24" s="180" customFormat="1" x14ac:dyDescent="0.2">
      <c r="A8" s="181"/>
      <c r="B8" s="181"/>
      <c r="C8" s="181"/>
      <c r="D8" s="181"/>
      <c r="E8" s="181"/>
      <c r="F8" s="181"/>
      <c r="G8" s="181"/>
      <c r="H8" s="181"/>
      <c r="I8" s="182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81"/>
      <c r="U8" s="181"/>
      <c r="V8" s="181"/>
      <c r="W8" s="181"/>
      <c r="X8" s="181"/>
    </row>
    <row r="9" spans="1:24" s="180" customFormat="1" x14ac:dyDescent="0.2">
      <c r="A9" s="181"/>
      <c r="B9" s="181"/>
      <c r="C9" s="181"/>
      <c r="D9" s="181"/>
      <c r="E9" s="181" t="s">
        <v>88</v>
      </c>
      <c r="F9" s="270" t="str">
        <f>IF(InpOfwat!F9&lt;&gt;"",InpOfwat!F9,InpCompany!F9)</f>
        <v>Anglian Water</v>
      </c>
      <c r="G9" s="181"/>
      <c r="H9" s="181"/>
      <c r="I9" s="183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</row>
    <row r="10" spans="1:24" s="180" customFormat="1" x14ac:dyDescent="0.2">
      <c r="A10" s="181"/>
      <c r="B10" s="181"/>
      <c r="C10" s="181"/>
      <c r="D10" s="181"/>
      <c r="E10" s="181" t="s">
        <v>535</v>
      </c>
      <c r="F10" s="380" t="str">
        <f>IF(InpOfwat!F10&lt;&gt;"",InpOfwat!F10,InpCompany!F10)</f>
        <v>ANH</v>
      </c>
      <c r="G10" s="181"/>
      <c r="H10" s="181"/>
      <c r="I10" s="183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</row>
    <row r="11" spans="1:24" s="180" customFormat="1" x14ac:dyDescent="0.2">
      <c r="A11" s="181"/>
      <c r="B11" s="181"/>
      <c r="C11" s="181"/>
      <c r="D11" s="181"/>
      <c r="E11" s="181"/>
      <c r="F11" s="181"/>
      <c r="G11" s="181"/>
      <c r="H11" s="181"/>
      <c r="I11" s="183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</row>
    <row r="12" spans="1:24" s="180" customFormat="1" x14ac:dyDescent="0.2">
      <c r="A12" s="181"/>
      <c r="B12" s="181"/>
      <c r="C12" s="181"/>
      <c r="D12" s="181"/>
      <c r="E12" s="181" t="s">
        <v>87</v>
      </c>
      <c r="F12" s="275" t="str">
        <f>IF(InpOfwat!F12&lt;&gt;"",InpOfwat!F12,InpCompany!F12)</f>
        <v>2024-25</v>
      </c>
      <c r="G12" s="181" t="s">
        <v>536</v>
      </c>
      <c r="H12" s="184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</row>
    <row r="13" spans="1:24" s="180" customFormat="1" x14ac:dyDescent="0.2">
      <c r="A13" s="181"/>
      <c r="B13" s="181"/>
      <c r="C13" s="181"/>
      <c r="D13" s="181"/>
      <c r="E13" s="181"/>
      <c r="F13" s="181"/>
      <c r="G13" s="183"/>
      <c r="H13" s="183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</row>
    <row r="14" spans="1:24" s="180" customFormat="1" x14ac:dyDescent="0.2">
      <c r="A14" s="181"/>
      <c r="B14" s="181"/>
      <c r="C14" s="181"/>
      <c r="D14" s="181"/>
      <c r="E14" s="181" t="s">
        <v>537</v>
      </c>
      <c r="F14" s="282" t="str">
        <f>IF(InpOfwat!F14&lt;&gt;"",InpOfwat!F14,InpCompany!F14)</f>
        <v>2017-18</v>
      </c>
      <c r="G14" s="181" t="s">
        <v>536</v>
      </c>
      <c r="H14" s="183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</row>
    <row r="15" spans="1:24" s="180" customFormat="1" x14ac:dyDescent="0.2">
      <c r="A15" s="181"/>
      <c r="B15" s="181"/>
      <c r="C15" s="181"/>
      <c r="D15" s="181"/>
      <c r="E15" s="181" t="s">
        <v>538</v>
      </c>
      <c r="F15" s="282" t="str">
        <f>IF(InpOfwat!F15&lt;&gt;"",InpOfwat!F15,InpCompany!F15)</f>
        <v>£m (2017-18 FYA CPIH prices)</v>
      </c>
      <c r="G15" s="181" t="s">
        <v>534</v>
      </c>
      <c r="H15" s="183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</row>
    <row r="16" spans="1:24" s="180" customFormat="1" x14ac:dyDescent="0.2">
      <c r="A16" s="181"/>
      <c r="B16" s="181"/>
      <c r="C16" s="181"/>
      <c r="D16" s="181"/>
      <c r="E16" s="181" t="s">
        <v>626</v>
      </c>
      <c r="F16" s="418">
        <v>1000</v>
      </c>
      <c r="G16" s="181" t="s">
        <v>627</v>
      </c>
      <c r="H16" s="183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</row>
    <row r="17" spans="1:24" s="340" customFormat="1" x14ac:dyDescent="0.2">
      <c r="A17" s="257"/>
      <c r="B17" s="257"/>
      <c r="C17" s="257"/>
      <c r="D17" s="257"/>
      <c r="E17" s="257"/>
      <c r="F17" s="335"/>
      <c r="G17" s="257"/>
      <c r="H17" s="339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</row>
    <row r="18" spans="1:24" s="180" customFormat="1" x14ac:dyDescent="0.2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</row>
    <row r="19" spans="1:24" s="180" customFormat="1" x14ac:dyDescent="0.2">
      <c r="A19" s="181"/>
      <c r="B19" s="181"/>
      <c r="C19" s="185" t="s">
        <v>539</v>
      </c>
      <c r="D19" s="181"/>
      <c r="E19" s="181"/>
      <c r="F19" s="181"/>
      <c r="G19" s="181"/>
      <c r="H19" s="181"/>
      <c r="I19" s="181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81"/>
      <c r="U19" s="181"/>
      <c r="V19" s="181"/>
      <c r="W19" s="181"/>
      <c r="X19" s="181"/>
    </row>
    <row r="20" spans="1:24" s="180" customFormat="1" x14ac:dyDescent="0.2">
      <c r="A20" s="181"/>
      <c r="B20" s="181"/>
      <c r="C20" s="181"/>
      <c r="D20" s="181"/>
      <c r="E20" s="181"/>
      <c r="F20" s="181"/>
      <c r="G20" s="181"/>
      <c r="H20" s="181"/>
      <c r="I20" s="181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81"/>
      <c r="U20" s="181"/>
      <c r="V20" s="181"/>
      <c r="W20" s="181"/>
      <c r="X20" s="181"/>
    </row>
    <row r="21" spans="1:24" s="180" customFormat="1" x14ac:dyDescent="0.2">
      <c r="A21" s="181"/>
      <c r="B21" s="181"/>
      <c r="C21" s="181"/>
      <c r="D21" s="186" t="s">
        <v>628</v>
      </c>
      <c r="E21" s="181"/>
      <c r="F21" s="181"/>
      <c r="G21" s="181"/>
      <c r="H21" s="181"/>
      <c r="I21" s="181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81"/>
      <c r="U21" s="181"/>
      <c r="V21" s="181"/>
      <c r="W21" s="181"/>
      <c r="X21" s="181"/>
    </row>
    <row r="22" spans="1:24" s="180" customFormat="1" x14ac:dyDescent="0.2">
      <c r="A22" s="181"/>
      <c r="B22" s="181"/>
      <c r="C22" s="181"/>
      <c r="D22" s="181"/>
      <c r="E22" s="154" t="s">
        <v>541</v>
      </c>
      <c r="F22" s="377">
        <f>IF(InpOfwat!F22&lt;&gt;"",InpOfwat!F22,InpCompany!F22)</f>
        <v>-8.7999999999999995E-2</v>
      </c>
      <c r="G22" s="181" t="str">
        <f t="shared" ref="G22:G29" si="0">$F$15</f>
        <v>£m (2017-18 FYA CPIH prices)</v>
      </c>
      <c r="H22" s="181"/>
      <c r="I22" s="181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81"/>
      <c r="U22" s="181"/>
      <c r="V22" s="181"/>
      <c r="W22" s="181"/>
      <c r="X22" s="181"/>
    </row>
    <row r="23" spans="1:24" s="180" customFormat="1" x14ac:dyDescent="0.2">
      <c r="A23" s="181"/>
      <c r="B23" s="181"/>
      <c r="C23" s="181"/>
      <c r="D23" s="181"/>
      <c r="E23" s="154" t="s">
        <v>542</v>
      </c>
      <c r="F23" s="275">
        <f>IF(InpOfwat!F23&lt;&gt;"",InpOfwat!F23,InpCompany!F23)</f>
        <v>-20.282</v>
      </c>
      <c r="G23" s="181" t="str">
        <f t="shared" si="0"/>
        <v>£m (2017-18 FYA CPIH prices)</v>
      </c>
      <c r="H23" s="181"/>
      <c r="I23" s="181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81"/>
      <c r="U23" s="181"/>
      <c r="V23" s="181"/>
      <c r="W23" s="181"/>
      <c r="X23" s="181"/>
    </row>
    <row r="24" spans="1:24" s="180" customFormat="1" x14ac:dyDescent="0.2">
      <c r="A24" s="181"/>
      <c r="B24" s="181"/>
      <c r="C24" s="181"/>
      <c r="D24" s="181"/>
      <c r="E24" s="154" t="s">
        <v>543</v>
      </c>
      <c r="F24" s="275">
        <f>IF(InpOfwat!F24&lt;&gt;"",InpOfwat!F24,InpCompany!F24)</f>
        <v>-16.908000000000001</v>
      </c>
      <c r="G24" s="181" t="str">
        <f t="shared" si="0"/>
        <v>£m (2017-18 FYA CPIH prices)</v>
      </c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</row>
    <row r="25" spans="1:24" s="180" customFormat="1" x14ac:dyDescent="0.2">
      <c r="A25" s="181"/>
      <c r="B25" s="181"/>
      <c r="C25" s="181"/>
      <c r="D25" s="181"/>
      <c r="E25" s="154" t="s">
        <v>544</v>
      </c>
      <c r="F25" s="275">
        <f>IF(InpOfwat!F25&lt;&gt;"",InpOfwat!F25,InpCompany!F25)</f>
        <v>0</v>
      </c>
      <c r="G25" s="181" t="str">
        <f t="shared" si="0"/>
        <v>£m (2017-18 FYA CPIH prices)</v>
      </c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</row>
    <row r="26" spans="1:24" s="180" customFormat="1" x14ac:dyDescent="0.2">
      <c r="A26" s="181"/>
      <c r="B26" s="181"/>
      <c r="C26" s="181"/>
      <c r="D26" s="181"/>
      <c r="E26" s="154" t="s">
        <v>545</v>
      </c>
      <c r="F26" s="275">
        <f>IF(InpOfwat!F26&lt;&gt;"",InpOfwat!F26,InpCompany!F26)</f>
        <v>0.89600000000000002</v>
      </c>
      <c r="G26" s="181" t="str">
        <f t="shared" si="0"/>
        <v>£m (2017-18 FYA CPIH prices)</v>
      </c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</row>
    <row r="27" spans="1:24" s="180" customFormat="1" x14ac:dyDescent="0.2">
      <c r="A27" s="181"/>
      <c r="B27" s="181"/>
      <c r="C27" s="181"/>
      <c r="D27" s="181"/>
      <c r="E27" s="154" t="s">
        <v>546</v>
      </c>
      <c r="F27" s="275">
        <f>IF(InpOfwat!F27&lt;&gt;"",InpOfwat!F27,InpCompany!F27)</f>
        <v>0</v>
      </c>
      <c r="G27" s="181" t="str">
        <f t="shared" si="0"/>
        <v>£m (2017-18 FYA CPIH prices)</v>
      </c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</row>
    <row r="28" spans="1:24" s="180" customFormat="1" x14ac:dyDescent="0.2">
      <c r="A28" s="181"/>
      <c r="B28" s="181"/>
      <c r="C28" s="181"/>
      <c r="D28" s="181"/>
      <c r="E28" s="154" t="s">
        <v>547</v>
      </c>
      <c r="F28" s="275">
        <f>IF(InpOfwat!F28&lt;&gt;"",InpOfwat!F28,InpCompany!F28)</f>
        <v>0</v>
      </c>
      <c r="G28" s="181" t="str">
        <f t="shared" si="0"/>
        <v>£m (2017-18 FYA CPIH prices)</v>
      </c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</row>
    <row r="29" spans="1:24" s="180" customFormat="1" x14ac:dyDescent="0.2">
      <c r="A29" s="181"/>
      <c r="B29" s="181"/>
      <c r="C29" s="181"/>
      <c r="D29" s="181"/>
      <c r="E29" s="154" t="s">
        <v>548</v>
      </c>
      <c r="F29" s="275">
        <f>IF(InpOfwat!F29&lt;&gt;"",InpOfwat!F29,InpCompany!F29)</f>
        <v>0</v>
      </c>
      <c r="G29" s="181" t="str">
        <f t="shared" si="0"/>
        <v>£m (2017-18 FYA CPIH prices)</v>
      </c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</row>
    <row r="30" spans="1:24" s="180" customFormat="1" x14ac:dyDescent="0.2">
      <c r="A30" s="181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</row>
    <row r="31" spans="1:24" s="180" customFormat="1" x14ac:dyDescent="0.2">
      <c r="A31" s="181"/>
      <c r="B31" s="181"/>
      <c r="C31" s="181"/>
      <c r="D31" s="186" t="s">
        <v>549</v>
      </c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</row>
    <row r="32" spans="1:24" s="180" customFormat="1" x14ac:dyDescent="0.2">
      <c r="A32" s="181"/>
      <c r="B32" s="181"/>
      <c r="C32" s="181"/>
      <c r="D32" s="181"/>
      <c r="E32" s="257" t="s">
        <v>446</v>
      </c>
      <c r="F32" s="275">
        <f>IF(InpOfwat!F32&lt;&gt;"",InpOfwat!F32,InpCompany!F32)</f>
        <v>2.1949999999999998</v>
      </c>
      <c r="G32" s="181" t="str">
        <f>$F$15</f>
        <v>£m (2017-18 FYA CPIH prices)</v>
      </c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</row>
    <row r="33" spans="1:24" s="180" customFormat="1" x14ac:dyDescent="0.2">
      <c r="A33" s="181"/>
      <c r="B33" s="181"/>
      <c r="C33" s="181"/>
      <c r="D33" s="181"/>
      <c r="E33" s="181" t="s">
        <v>448</v>
      </c>
      <c r="F33" s="275">
        <f>IF(InpOfwat!F33&lt;&gt;"",InpOfwat!F33,InpCompany!F33)</f>
        <v>2.7355185817744362E-2</v>
      </c>
      <c r="G33" s="181" t="str">
        <f>$F$15</f>
        <v>£m (2017-18 FYA CPIH prices)</v>
      </c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</row>
    <row r="34" spans="1:24" s="180" customFormat="1" x14ac:dyDescent="0.2">
      <c r="A34" s="181"/>
      <c r="B34" s="181"/>
      <c r="C34" s="181"/>
      <c r="D34" s="181"/>
      <c r="E34" s="181" t="s">
        <v>450</v>
      </c>
      <c r="F34" s="275">
        <f>IF(InpOfwat!F34&lt;&gt;"",InpOfwat!F34,InpCompany!F34)</f>
        <v>0</v>
      </c>
      <c r="G34" s="181" t="str">
        <f>$F$15</f>
        <v>£m (2017-18 FYA CPIH prices)</v>
      </c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</row>
    <row r="35" spans="1:24" s="180" customFormat="1" x14ac:dyDescent="0.2">
      <c r="A35" s="181"/>
      <c r="B35" s="181"/>
      <c r="C35" s="181"/>
      <c r="D35" s="181"/>
      <c r="E35" s="181" t="s">
        <v>452</v>
      </c>
      <c r="F35" s="275">
        <f>IF(InpOfwat!F35&lt;&gt;"",InpOfwat!F35,InpCompany!F35)</f>
        <v>1.5789240504172835E-2</v>
      </c>
      <c r="G35" s="181" t="str">
        <f>$F$15</f>
        <v>£m (2017-18 FYA CPIH prices)</v>
      </c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</row>
    <row r="36" spans="1:24" s="180" customFormat="1" x14ac:dyDescent="0.2">
      <c r="A36" s="181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</row>
    <row r="37" spans="1:24" s="180" customFormat="1" x14ac:dyDescent="0.2">
      <c r="A37" s="181"/>
      <c r="B37" s="181"/>
      <c r="C37" s="181"/>
      <c r="D37" s="259" t="s">
        <v>550</v>
      </c>
      <c r="E37" s="257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</row>
    <row r="38" spans="1:24" s="180" customFormat="1" x14ac:dyDescent="0.2">
      <c r="A38" s="181"/>
      <c r="B38" s="181"/>
      <c r="C38" s="181"/>
      <c r="D38" s="181"/>
      <c r="E38" s="154" t="s">
        <v>551</v>
      </c>
      <c r="F38" s="275">
        <f>IF(InpOfwat!F38&lt;&gt;"",InpOfwat!F38,InpCompany!F38)</f>
        <v>0</v>
      </c>
      <c r="G38" s="181" t="str">
        <f t="shared" ref="G38:G45" si="1">$F$15</f>
        <v>£m (2017-18 FYA CPIH prices)</v>
      </c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</row>
    <row r="39" spans="1:24" s="180" customFormat="1" x14ac:dyDescent="0.2">
      <c r="A39" s="181"/>
      <c r="B39" s="181"/>
      <c r="C39" s="181"/>
      <c r="D39" s="181"/>
      <c r="E39" s="154" t="s">
        <v>552</v>
      </c>
      <c r="F39" s="275">
        <f>IF(InpOfwat!F39&lt;&gt;"",InpOfwat!F39,InpCompany!F39)</f>
        <v>0</v>
      </c>
      <c r="G39" s="181" t="str">
        <f t="shared" si="1"/>
        <v>£m (2017-18 FYA CPIH prices)</v>
      </c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</row>
    <row r="40" spans="1:24" s="180" customFormat="1" x14ac:dyDescent="0.2">
      <c r="A40" s="181"/>
      <c r="B40" s="181"/>
      <c r="C40" s="181"/>
      <c r="D40" s="181"/>
      <c r="E40" s="154" t="s">
        <v>553</v>
      </c>
      <c r="F40" s="275">
        <f>IF(InpOfwat!F40&lt;&gt;"",InpOfwat!F40,InpCompany!F40)</f>
        <v>0</v>
      </c>
      <c r="G40" s="181" t="str">
        <f t="shared" si="1"/>
        <v>£m (2017-18 FYA CPIH prices)</v>
      </c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</row>
    <row r="41" spans="1:24" s="180" customFormat="1" x14ac:dyDescent="0.2">
      <c r="A41" s="181"/>
      <c r="B41" s="181"/>
      <c r="C41" s="181"/>
      <c r="D41" s="181"/>
      <c r="E41" s="154" t="s">
        <v>554</v>
      </c>
      <c r="F41" s="275">
        <f>IF(InpOfwat!F41&lt;&gt;"",InpOfwat!F41,InpCompany!F41)</f>
        <v>0</v>
      </c>
      <c r="G41" s="181" t="str">
        <f t="shared" si="1"/>
        <v>£m (2017-18 FYA CPIH prices)</v>
      </c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</row>
    <row r="42" spans="1:24" s="180" customFormat="1" x14ac:dyDescent="0.2">
      <c r="A42" s="181"/>
      <c r="B42" s="181"/>
      <c r="C42" s="181"/>
      <c r="D42" s="181"/>
      <c r="E42" s="154" t="s">
        <v>555</v>
      </c>
      <c r="F42" s="275">
        <f>IF(InpOfwat!F42&lt;&gt;"",InpOfwat!F42,InpCompany!F42)</f>
        <v>0</v>
      </c>
      <c r="G42" s="181" t="str">
        <f t="shared" si="1"/>
        <v>£m (2017-18 FYA CPIH prices)</v>
      </c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</row>
    <row r="43" spans="1:24" s="180" customFormat="1" x14ac:dyDescent="0.2">
      <c r="A43" s="181"/>
      <c r="B43" s="181"/>
      <c r="C43" s="181"/>
      <c r="D43" s="181"/>
      <c r="E43" s="154" t="s">
        <v>556</v>
      </c>
      <c r="F43" s="275">
        <f>IF(InpOfwat!F43&lt;&gt;"",InpOfwat!F43,InpCompany!F43)</f>
        <v>0</v>
      </c>
      <c r="G43" s="181" t="str">
        <f t="shared" si="1"/>
        <v>£m (2017-18 FYA CPIH prices)</v>
      </c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</row>
    <row r="44" spans="1:24" s="180" customFormat="1" x14ac:dyDescent="0.2">
      <c r="A44" s="181"/>
      <c r="B44" s="181"/>
      <c r="C44" s="181"/>
      <c r="D44" s="181"/>
      <c r="E44" s="154" t="s">
        <v>557</v>
      </c>
      <c r="F44" s="275">
        <f>IF(InpOfwat!F44&lt;&gt;"",InpOfwat!F44,InpCompany!F44)</f>
        <v>0</v>
      </c>
      <c r="G44" s="181" t="str">
        <f t="shared" si="1"/>
        <v>£m (2017-18 FYA CPIH prices)</v>
      </c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</row>
    <row r="45" spans="1:24" s="180" customFormat="1" x14ac:dyDescent="0.2">
      <c r="A45" s="181"/>
      <c r="B45" s="181"/>
      <c r="C45" s="181"/>
      <c r="D45" s="181"/>
      <c r="E45" s="154" t="s">
        <v>558</v>
      </c>
      <c r="F45" s="275">
        <f>IF(InpOfwat!F45&lt;&gt;"",InpOfwat!F45,InpCompany!F45)</f>
        <v>0</v>
      </c>
      <c r="G45" s="181" t="str">
        <f t="shared" si="1"/>
        <v>£m (2017-18 FYA CPIH prices)</v>
      </c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</row>
    <row r="46" spans="1:24" s="180" customFormat="1" x14ac:dyDescent="0.2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</row>
    <row r="47" spans="1:24" s="180" customFormat="1" x14ac:dyDescent="0.2">
      <c r="A47" s="181"/>
      <c r="B47" s="181"/>
      <c r="C47" s="185" t="s">
        <v>559</v>
      </c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</row>
    <row r="48" spans="1:24" s="180" customFormat="1" x14ac:dyDescent="0.2">
      <c r="A48" s="181"/>
      <c r="B48" s="181"/>
      <c r="C48" s="185"/>
      <c r="D48" s="187" t="s">
        <v>629</v>
      </c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</row>
    <row r="49" spans="1:24" s="180" customFormat="1" x14ac:dyDescent="0.2">
      <c r="A49" s="181"/>
      <c r="B49" s="181"/>
      <c r="C49" s="185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</row>
    <row r="50" spans="1:24" s="180" customFormat="1" x14ac:dyDescent="0.2">
      <c r="A50" s="181"/>
      <c r="B50" s="181"/>
      <c r="C50" s="181"/>
      <c r="D50" s="186" t="s">
        <v>561</v>
      </c>
      <c r="E50" s="181"/>
      <c r="F50" s="181"/>
      <c r="G50" s="181"/>
      <c r="H50" s="188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</row>
    <row r="51" spans="1:24" s="180" customFormat="1" x14ac:dyDescent="0.2">
      <c r="A51" s="181"/>
      <c r="B51" s="181"/>
      <c r="C51" s="181"/>
      <c r="D51" s="181"/>
      <c r="E51" s="181" t="s">
        <v>562</v>
      </c>
      <c r="F51" s="275">
        <f>IF(InpOfwat!F51&lt;&gt;"",InpOfwat!F51,InpCompany!F51)</f>
        <v>0</v>
      </c>
      <c r="G51" s="181" t="str">
        <f t="shared" ref="G51:G58" si="2">$F$15</f>
        <v>£m (2017-18 FYA CPIH prices)</v>
      </c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</row>
    <row r="52" spans="1:24" s="180" customFormat="1" x14ac:dyDescent="0.2">
      <c r="A52" s="181"/>
      <c r="B52" s="181"/>
      <c r="C52" s="181"/>
      <c r="D52" s="181"/>
      <c r="E52" s="181" t="s">
        <v>563</v>
      </c>
      <c r="F52" s="275">
        <f>IF(InpOfwat!F52&lt;&gt;"",InpOfwat!F52,InpCompany!F52)</f>
        <v>0</v>
      </c>
      <c r="G52" s="181" t="str">
        <f t="shared" si="2"/>
        <v>£m (2017-18 FYA CPIH prices)</v>
      </c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</row>
    <row r="53" spans="1:24" s="180" customFormat="1" x14ac:dyDescent="0.2">
      <c r="A53" s="181"/>
      <c r="B53" s="181"/>
      <c r="C53" s="181"/>
      <c r="D53" s="181"/>
      <c r="E53" s="181" t="s">
        <v>564</v>
      </c>
      <c r="F53" s="275">
        <f>IF(InpOfwat!F53&lt;&gt;"",InpOfwat!F53,InpCompany!F53)</f>
        <v>0</v>
      </c>
      <c r="G53" s="181" t="str">
        <f t="shared" si="2"/>
        <v>£m (2017-18 FYA CPIH prices)</v>
      </c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</row>
    <row r="54" spans="1:24" s="180" customFormat="1" x14ac:dyDescent="0.2">
      <c r="A54" s="181"/>
      <c r="B54" s="181"/>
      <c r="C54" s="181"/>
      <c r="D54" s="181"/>
      <c r="E54" s="181" t="s">
        <v>565</v>
      </c>
      <c r="F54" s="275">
        <f>IF(InpOfwat!F54&lt;&gt;"",InpOfwat!F54,InpCompany!F54)</f>
        <v>0</v>
      </c>
      <c r="G54" s="181" t="str">
        <f t="shared" si="2"/>
        <v>£m (2017-18 FYA CPIH prices)</v>
      </c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</row>
    <row r="55" spans="1:24" s="180" customFormat="1" x14ac:dyDescent="0.2">
      <c r="A55" s="181"/>
      <c r="B55" s="181"/>
      <c r="C55" s="181"/>
      <c r="D55" s="181"/>
      <c r="E55" s="181" t="s">
        <v>566</v>
      </c>
      <c r="F55" s="275">
        <f>IF(InpOfwat!F55&lt;&gt;"",InpOfwat!F55,InpCompany!F55)</f>
        <v>0</v>
      </c>
      <c r="G55" s="181" t="str">
        <f t="shared" si="2"/>
        <v>£m (2017-18 FYA CPIH prices)</v>
      </c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</row>
    <row r="56" spans="1:24" s="180" customFormat="1" x14ac:dyDescent="0.2">
      <c r="A56" s="181"/>
      <c r="B56" s="181"/>
      <c r="C56" s="181"/>
      <c r="D56" s="181"/>
      <c r="E56" s="181" t="s">
        <v>567</v>
      </c>
      <c r="F56" s="275">
        <f>IF(InpOfwat!F56&lt;&gt;"",InpOfwat!F56,InpCompany!F56)</f>
        <v>0</v>
      </c>
      <c r="G56" s="181" t="str">
        <f t="shared" si="2"/>
        <v>£m (2017-18 FYA CPIH prices)</v>
      </c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</row>
    <row r="57" spans="1:24" s="180" customFormat="1" x14ac:dyDescent="0.2">
      <c r="A57" s="181"/>
      <c r="B57" s="181"/>
      <c r="C57" s="181"/>
      <c r="D57" s="181"/>
      <c r="E57" s="181" t="s">
        <v>568</v>
      </c>
      <c r="F57" s="275">
        <f>IF(InpOfwat!F57&lt;&gt;"",InpOfwat!F57,InpCompany!F57)</f>
        <v>0</v>
      </c>
      <c r="G57" s="181" t="str">
        <f t="shared" si="2"/>
        <v>£m (2017-18 FYA CPIH prices)</v>
      </c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</row>
    <row r="58" spans="1:24" s="180" customFormat="1" x14ac:dyDescent="0.2">
      <c r="A58" s="181"/>
      <c r="B58" s="181"/>
      <c r="C58" s="181"/>
      <c r="D58" s="181"/>
      <c r="E58" s="181" t="s">
        <v>569</v>
      </c>
      <c r="F58" s="275">
        <f>IF(InpOfwat!F58&lt;&gt;"",InpOfwat!F58,InpCompany!F58)</f>
        <v>0</v>
      </c>
      <c r="G58" s="181" t="str">
        <f t="shared" si="2"/>
        <v>£m (2017-18 FYA CPIH prices)</v>
      </c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</row>
    <row r="59" spans="1:24" s="180" customFormat="1" x14ac:dyDescent="0.2">
      <c r="A59" s="181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</row>
    <row r="60" spans="1:24" s="180" customFormat="1" x14ac:dyDescent="0.2">
      <c r="A60" s="181"/>
      <c r="B60" s="181"/>
      <c r="C60" s="181"/>
      <c r="D60" s="186" t="s">
        <v>570</v>
      </c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</row>
    <row r="61" spans="1:24" s="180" customFormat="1" x14ac:dyDescent="0.2">
      <c r="A61" s="181"/>
      <c r="B61" s="181"/>
      <c r="C61" s="181"/>
      <c r="D61" s="181"/>
      <c r="E61" s="181" t="s">
        <v>571</v>
      </c>
      <c r="F61" s="275">
        <f>IF(InpOfwat!F61&lt;&gt;"",InpOfwat!F61,InpCompany!F61)</f>
        <v>0</v>
      </c>
      <c r="G61" s="181" t="str">
        <f t="shared" ref="G61:G68" si="3">$F$15</f>
        <v>£m (2017-18 FYA CPIH prices)</v>
      </c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</row>
    <row r="62" spans="1:24" s="180" customFormat="1" x14ac:dyDescent="0.2">
      <c r="A62" s="181"/>
      <c r="B62" s="181"/>
      <c r="C62" s="181"/>
      <c r="D62" s="181"/>
      <c r="E62" s="181" t="s">
        <v>572</v>
      </c>
      <c r="F62" s="275">
        <f>IF(InpOfwat!F62&lt;&gt;"",InpOfwat!F62,InpCompany!F62)</f>
        <v>0</v>
      </c>
      <c r="G62" s="181" t="str">
        <f t="shared" si="3"/>
        <v>£m (2017-18 FYA CPIH prices)</v>
      </c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</row>
    <row r="63" spans="1:24" s="180" customFormat="1" x14ac:dyDescent="0.2">
      <c r="A63" s="181"/>
      <c r="B63" s="181"/>
      <c r="C63" s="181"/>
      <c r="D63" s="181"/>
      <c r="E63" s="181" t="s">
        <v>573</v>
      </c>
      <c r="F63" s="275">
        <f>IF(InpOfwat!F63&lt;&gt;"",InpOfwat!F63,InpCompany!F63)</f>
        <v>0</v>
      </c>
      <c r="G63" s="181" t="str">
        <f t="shared" si="3"/>
        <v>£m (2017-18 FYA CPIH prices)</v>
      </c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</row>
    <row r="64" spans="1:24" s="180" customFormat="1" x14ac:dyDescent="0.2">
      <c r="A64" s="181"/>
      <c r="B64" s="181"/>
      <c r="C64" s="181"/>
      <c r="D64" s="181"/>
      <c r="E64" s="181" t="s">
        <v>574</v>
      </c>
      <c r="F64" s="275">
        <f>IF(InpOfwat!F64&lt;&gt;"",InpOfwat!F64,InpCompany!F64)</f>
        <v>0</v>
      </c>
      <c r="G64" s="181" t="str">
        <f t="shared" si="3"/>
        <v>£m (2017-18 FYA CPIH prices)</v>
      </c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</row>
    <row r="65" spans="1:24" s="180" customFormat="1" x14ac:dyDescent="0.2">
      <c r="A65" s="181"/>
      <c r="B65" s="181"/>
      <c r="C65" s="181"/>
      <c r="D65" s="181"/>
      <c r="E65" s="181" t="s">
        <v>575</v>
      </c>
      <c r="F65" s="275">
        <f>IF(InpOfwat!F65&lt;&gt;"",InpOfwat!F65,InpCompany!F65)</f>
        <v>0</v>
      </c>
      <c r="G65" s="181" t="str">
        <f t="shared" si="3"/>
        <v>£m (2017-18 FYA CPIH prices)</v>
      </c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</row>
    <row r="66" spans="1:24" s="152" customFormat="1" x14ac:dyDescent="0.2">
      <c r="A66" s="181"/>
      <c r="B66" s="181"/>
      <c r="C66" s="181"/>
      <c r="D66" s="181"/>
      <c r="E66" s="181" t="s">
        <v>576</v>
      </c>
      <c r="F66" s="275">
        <f>IF(InpOfwat!F66&lt;&gt;"",InpOfwat!F66,InpCompany!F66)</f>
        <v>0</v>
      </c>
      <c r="G66" s="181" t="str">
        <f t="shared" si="3"/>
        <v>£m (2017-18 FYA CPIH prices)</v>
      </c>
      <c r="H66" s="181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</row>
    <row r="67" spans="1:24" s="180" customFormat="1" x14ac:dyDescent="0.2">
      <c r="A67" s="181"/>
      <c r="B67" s="181"/>
      <c r="C67" s="181"/>
      <c r="D67" s="181"/>
      <c r="E67" s="181" t="s">
        <v>577</v>
      </c>
      <c r="F67" s="275">
        <f>IF(InpOfwat!F67&lt;&gt;"",InpOfwat!F67,InpCompany!F67)</f>
        <v>0</v>
      </c>
      <c r="G67" s="181" t="str">
        <f t="shared" si="3"/>
        <v>£m (2017-18 FYA CPIH prices)</v>
      </c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</row>
    <row r="68" spans="1:24" s="180" customFormat="1" x14ac:dyDescent="0.2">
      <c r="A68" s="181"/>
      <c r="B68" s="181"/>
      <c r="C68" s="181"/>
      <c r="D68" s="181"/>
      <c r="E68" s="181" t="s">
        <v>578</v>
      </c>
      <c r="F68" s="275">
        <f>IF(InpOfwat!F68&lt;&gt;"",InpOfwat!F68,InpCompany!F68)</f>
        <v>0</v>
      </c>
      <c r="G68" s="181" t="str">
        <f t="shared" si="3"/>
        <v>£m (2017-18 FYA CPIH prices)</v>
      </c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</row>
    <row r="69" spans="1:24" s="180" customFormat="1" x14ac:dyDescent="0.2">
      <c r="A69" s="181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</row>
    <row r="70" spans="1:24" s="180" customFormat="1" x14ac:dyDescent="0.2">
      <c r="A70" s="181"/>
      <c r="B70" s="181"/>
      <c r="C70" s="185" t="s">
        <v>579</v>
      </c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</row>
    <row r="71" spans="1:24" s="180" customFormat="1" x14ac:dyDescent="0.2">
      <c r="A71" s="181"/>
      <c r="B71" s="181"/>
      <c r="C71" s="185"/>
      <c r="D71" s="187" t="s">
        <v>580</v>
      </c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</row>
    <row r="72" spans="1:24" s="180" customFormat="1" x14ac:dyDescent="0.2">
      <c r="A72" s="181"/>
      <c r="B72" s="181"/>
      <c r="C72" s="185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</row>
    <row r="73" spans="1:24" s="180" customFormat="1" x14ac:dyDescent="0.2">
      <c r="A73" s="181"/>
      <c r="B73" s="181"/>
      <c r="C73" s="181"/>
      <c r="D73" s="181"/>
      <c r="E73" s="181" t="s">
        <v>430</v>
      </c>
      <c r="F73" s="275">
        <f>IF(InpOfwat!F73&lt;&gt;"",InpOfwat!F73,InpCompany!F73)</f>
        <v>0</v>
      </c>
      <c r="G73" s="181" t="str">
        <f t="shared" ref="G73:G80" si="4">$F$15</f>
        <v>£m (2017-18 FYA CPIH prices)</v>
      </c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</row>
    <row r="74" spans="1:24" s="180" customFormat="1" x14ac:dyDescent="0.2">
      <c r="A74" s="181"/>
      <c r="B74" s="181"/>
      <c r="C74" s="181"/>
      <c r="D74" s="181"/>
      <c r="E74" s="181" t="s">
        <v>432</v>
      </c>
      <c r="F74" s="275">
        <f>IF(InpOfwat!F74&lt;&gt;"",InpOfwat!F74,InpCompany!F74)</f>
        <v>0</v>
      </c>
      <c r="G74" s="181" t="str">
        <f t="shared" si="4"/>
        <v>£m (2017-18 FYA CPIH prices)</v>
      </c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</row>
    <row r="75" spans="1:24" s="180" customFormat="1" x14ac:dyDescent="0.2">
      <c r="A75" s="181"/>
      <c r="B75" s="181"/>
      <c r="C75" s="181"/>
      <c r="D75" s="181"/>
      <c r="E75" s="181" t="s">
        <v>434</v>
      </c>
      <c r="F75" s="275">
        <f>IF(InpOfwat!F75&lt;&gt;"",InpOfwat!F75,InpCompany!F75)</f>
        <v>0</v>
      </c>
      <c r="G75" s="181" t="str">
        <f t="shared" si="4"/>
        <v>£m (2017-18 FYA CPIH prices)</v>
      </c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</row>
    <row r="76" spans="1:24" s="180" customFormat="1" x14ac:dyDescent="0.2">
      <c r="A76" s="181"/>
      <c r="B76" s="181"/>
      <c r="C76" s="181"/>
      <c r="D76" s="181"/>
      <c r="E76" s="181" t="s">
        <v>436</v>
      </c>
      <c r="F76" s="275">
        <f>IF(InpOfwat!F76&lt;&gt;"",InpOfwat!F76,InpCompany!F76)</f>
        <v>0</v>
      </c>
      <c r="G76" s="181" t="str">
        <f t="shared" si="4"/>
        <v>£m (2017-18 FYA CPIH prices)</v>
      </c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</row>
    <row r="77" spans="1:24" s="180" customFormat="1" x14ac:dyDescent="0.2">
      <c r="A77" s="181"/>
      <c r="B77" s="181"/>
      <c r="C77" s="181"/>
      <c r="D77" s="181"/>
      <c r="E77" s="181" t="s">
        <v>438</v>
      </c>
      <c r="F77" s="275">
        <f>IF(InpOfwat!F77&lt;&gt;"",InpOfwat!F77,InpCompany!F77)</f>
        <v>0</v>
      </c>
      <c r="G77" s="181" t="str">
        <f t="shared" si="4"/>
        <v>£m (2017-18 FYA CPIH prices)</v>
      </c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</row>
    <row r="78" spans="1:24" s="180" customFormat="1" x14ac:dyDescent="0.2">
      <c r="A78" s="181"/>
      <c r="B78" s="181"/>
      <c r="C78" s="181"/>
      <c r="D78" s="181"/>
      <c r="E78" s="181" t="s">
        <v>440</v>
      </c>
      <c r="F78" s="275">
        <f>IF(InpOfwat!F78&lt;&gt;"",InpOfwat!F78,InpCompany!F78)</f>
        <v>0</v>
      </c>
      <c r="G78" s="181" t="str">
        <f t="shared" si="4"/>
        <v>£m (2017-18 FYA CPIH prices)</v>
      </c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</row>
    <row r="79" spans="1:24" s="180" customFormat="1" x14ac:dyDescent="0.2">
      <c r="A79" s="181"/>
      <c r="B79" s="181"/>
      <c r="C79" s="181"/>
      <c r="D79" s="181"/>
      <c r="E79" s="181" t="s">
        <v>442</v>
      </c>
      <c r="F79" s="275">
        <f>IF(InpOfwat!F79&lt;&gt;"",InpOfwat!F79,InpCompany!F79)</f>
        <v>0</v>
      </c>
      <c r="G79" s="181" t="str">
        <f t="shared" si="4"/>
        <v>£m (2017-18 FYA CPIH prices)</v>
      </c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</row>
    <row r="80" spans="1:24" s="180" customFormat="1" x14ac:dyDescent="0.2">
      <c r="A80" s="181"/>
      <c r="B80" s="181"/>
      <c r="C80" s="181"/>
      <c r="D80" s="181"/>
      <c r="E80" s="181" t="s">
        <v>444</v>
      </c>
      <c r="F80" s="275">
        <f>IF(InpOfwat!F80&lt;&gt;"",InpOfwat!F80,InpCompany!F80)</f>
        <v>0</v>
      </c>
      <c r="G80" s="181" t="str">
        <f t="shared" si="4"/>
        <v>£m (2017-18 FYA CPIH prices)</v>
      </c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</row>
    <row r="81" spans="1:24" s="180" customFormat="1" x14ac:dyDescent="0.2">
      <c r="A81" s="181"/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</row>
    <row r="82" spans="1:24" s="401" customFormat="1" ht="13.5" x14ac:dyDescent="0.25">
      <c r="A82" s="209" t="s">
        <v>581</v>
      </c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</row>
    <row r="83" spans="1:24" s="180" customFormat="1" x14ac:dyDescent="0.2">
      <c r="A83" s="181"/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</row>
    <row r="84" spans="1:24" s="180" customFormat="1" x14ac:dyDescent="0.2">
      <c r="A84" s="181"/>
      <c r="B84" s="185" t="s">
        <v>582</v>
      </c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</row>
    <row r="85" spans="1:24" s="180" customFormat="1" x14ac:dyDescent="0.2">
      <c r="A85" s="181"/>
      <c r="B85" s="185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</row>
    <row r="86" spans="1:24" s="180" customFormat="1" x14ac:dyDescent="0.2">
      <c r="A86" s="181"/>
      <c r="B86" s="181"/>
      <c r="C86" s="181"/>
      <c r="D86" s="181"/>
      <c r="E86" s="181" t="s">
        <v>326</v>
      </c>
      <c r="F86" s="265">
        <f>IF(InpOfwat!F86&lt;&gt;"",InpOfwat!F86,InpCompany!F86)</f>
        <v>3.1199999999999999E-2</v>
      </c>
      <c r="G86" s="181" t="s">
        <v>583</v>
      </c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</row>
    <row r="87" spans="1:24" s="180" customFormat="1" x14ac:dyDescent="0.2">
      <c r="A87" s="181"/>
      <c r="B87" s="181"/>
      <c r="C87" s="181"/>
      <c r="D87" s="181"/>
      <c r="E87" s="181" t="s">
        <v>328</v>
      </c>
      <c r="F87" s="265">
        <f>IF(InpOfwat!F87&lt;&gt;"",InpOfwat!F87,InpCompany!F87)</f>
        <v>3.2000000000000001E-2</v>
      </c>
      <c r="G87" s="181" t="s">
        <v>583</v>
      </c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</row>
    <row r="88" spans="1:24" s="180" customFormat="1" x14ac:dyDescent="0.2">
      <c r="A88" s="181"/>
      <c r="B88" s="181"/>
      <c r="C88" s="181"/>
      <c r="D88" s="181"/>
      <c r="E88" s="181" t="s">
        <v>330</v>
      </c>
      <c r="F88" s="274">
        <f>IF(InpOfwat!F88&lt;&gt;"",InpOfwat!F88,InpCompany!F88)</f>
        <v>1</v>
      </c>
      <c r="G88" s="181" t="s">
        <v>584</v>
      </c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</row>
    <row r="89" spans="1:24" s="180" customFormat="1" x14ac:dyDescent="0.2">
      <c r="A89" s="181"/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</row>
    <row r="90" spans="1:24" s="180" customFormat="1" x14ac:dyDescent="0.2">
      <c r="A90" s="181"/>
      <c r="B90" s="181"/>
      <c r="C90" s="181"/>
      <c r="D90" s="181"/>
      <c r="E90" s="260" t="s">
        <v>332</v>
      </c>
      <c r="F90" s="95"/>
      <c r="G90" s="95" t="s">
        <v>583</v>
      </c>
      <c r="H90" s="95"/>
      <c r="I90" s="87"/>
      <c r="J90" s="192"/>
      <c r="K90" s="192"/>
      <c r="L90" s="192"/>
      <c r="M90" s="192"/>
      <c r="N90" s="192"/>
      <c r="O90" s="192"/>
      <c r="P90" s="192"/>
      <c r="Q90" s="192"/>
      <c r="R90" s="276">
        <f>IF(InpOfwat!R90&lt;&gt;"",InpOfwat!R90,InpCompany!R90)</f>
        <v>0</v>
      </c>
      <c r="S90" s="276">
        <f>IF(InpOfwat!S90&lt;&gt;"",InpOfwat!S90,InpCompany!S90)</f>
        <v>0</v>
      </c>
      <c r="T90" s="276">
        <f>IF(InpOfwat!T90&lt;&gt;"",InpOfwat!T90,InpCompany!T90)</f>
        <v>0</v>
      </c>
      <c r="U90" s="276">
        <f>IF(InpOfwat!U90&lt;&gt;"",InpOfwat!U90,InpCompany!U90)</f>
        <v>0</v>
      </c>
      <c r="V90" s="276">
        <f>IF(InpOfwat!V90&lt;&gt;"",InpOfwat!V90,InpCompany!V90)</f>
        <v>0</v>
      </c>
      <c r="W90" s="276">
        <f>IF(InpOfwat!W90&lt;&gt;"",InpOfwat!W90,InpCompany!W90)</f>
        <v>0</v>
      </c>
      <c r="X90" s="276">
        <f>IF(InpOfwat!X90&lt;&gt;"",InpOfwat!X90,InpCompany!X90)</f>
        <v>0</v>
      </c>
    </row>
    <row r="91" spans="1:24" s="180" customFormat="1" x14ac:dyDescent="0.2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</row>
    <row r="92" spans="1:24" s="180" customFormat="1" x14ac:dyDescent="0.2">
      <c r="A92" s="181"/>
      <c r="B92" s="181"/>
      <c r="C92" s="181"/>
      <c r="D92" s="181"/>
      <c r="E92" s="154" t="s">
        <v>625</v>
      </c>
      <c r="F92" s="154"/>
      <c r="G92" s="154" t="s">
        <v>155</v>
      </c>
      <c r="H92" s="154"/>
      <c r="I92" s="181"/>
      <c r="J92" s="272">
        <f>IF(InpOfwat!J92&lt;&gt;"",InpOfwat!J92,InpCompany!J92)</f>
        <v>100.3</v>
      </c>
      <c r="K92" s="272">
        <f>IF(InpOfwat!K92&lt;&gt;"",InpOfwat!K92,InpCompany!K92)</f>
        <v>101.8</v>
      </c>
      <c r="L92" s="272">
        <f>IF(InpOfwat!L92&lt;&gt;"",InpOfwat!L92,InpCompany!L92)</f>
        <v>0</v>
      </c>
      <c r="M92" s="272">
        <f>IF(InpOfwat!M92&lt;&gt;"",InpOfwat!M92,InpCompany!M92)</f>
        <v>0</v>
      </c>
      <c r="N92" s="272">
        <f>IF(InpOfwat!N92&lt;&gt;"",InpOfwat!N92,InpCompany!N92)</f>
        <v>0</v>
      </c>
      <c r="O92" s="272">
        <f>IF(InpOfwat!O92&lt;&gt;"",InpOfwat!O92,InpCompany!O92)</f>
        <v>0</v>
      </c>
      <c r="P92" s="272">
        <f>IF(InpOfwat!P92&lt;&gt;"",InpOfwat!P92,InpCompany!P92)</f>
        <v>0</v>
      </c>
      <c r="Q92" s="272">
        <f>IF(InpOfwat!Q92&lt;&gt;"",InpOfwat!Q92,InpCompany!Q92)</f>
        <v>0</v>
      </c>
      <c r="R92" s="272">
        <f>IF(InpOfwat!R92&lt;&gt;"",InpOfwat!R92,InpCompany!R92)</f>
        <v>0</v>
      </c>
      <c r="S92" s="272">
        <f>IF(InpOfwat!S92&lt;&gt;"",InpOfwat!S92,InpCompany!S92)</f>
        <v>0</v>
      </c>
      <c r="T92" s="272">
        <f>IF(InpOfwat!T92&lt;&gt;"",InpOfwat!T92,InpCompany!T92)</f>
        <v>0</v>
      </c>
      <c r="U92" s="272">
        <f>IF(InpOfwat!U92&lt;&gt;"",InpOfwat!U92,InpCompany!U92)</f>
        <v>0</v>
      </c>
      <c r="V92" s="272">
        <f>IF(InpOfwat!V92&lt;&gt;"",InpOfwat!V92,InpCompany!V92)</f>
        <v>0</v>
      </c>
      <c r="W92" s="272">
        <f>IF(InpOfwat!W92&lt;&gt;"",InpOfwat!W92,InpCompany!W92)</f>
        <v>0</v>
      </c>
      <c r="X92" s="272">
        <f>IF(InpOfwat!X92&lt;&gt;"",InpOfwat!X92,InpCompany!X92)</f>
        <v>0</v>
      </c>
    </row>
    <row r="93" spans="1:24" s="180" customFormat="1" x14ac:dyDescent="0.2">
      <c r="A93" s="181"/>
      <c r="B93" s="181"/>
      <c r="C93" s="181"/>
      <c r="D93" s="181"/>
      <c r="E93" s="154"/>
      <c r="F93" s="154"/>
      <c r="G93" s="154"/>
      <c r="H93" s="154"/>
      <c r="I93" s="181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81"/>
      <c r="U93" s="181"/>
      <c r="V93" s="181"/>
      <c r="W93" s="181"/>
      <c r="X93" s="181"/>
    </row>
    <row r="94" spans="1:24" s="180" customFormat="1" x14ac:dyDescent="0.2">
      <c r="A94" s="181"/>
      <c r="B94" s="181"/>
      <c r="C94" s="181"/>
      <c r="D94" s="186" t="s">
        <v>585</v>
      </c>
      <c r="E94" s="154"/>
      <c r="F94" s="154"/>
      <c r="G94" s="154"/>
      <c r="H94" s="154"/>
      <c r="I94" s="181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81"/>
      <c r="U94" s="181"/>
      <c r="V94" s="181"/>
      <c r="W94" s="181"/>
      <c r="X94" s="181"/>
    </row>
    <row r="95" spans="1:24" s="180" customFormat="1" x14ac:dyDescent="0.2">
      <c r="A95" s="181"/>
      <c r="B95" s="181"/>
      <c r="C95" s="181"/>
      <c r="D95" s="181"/>
      <c r="E95" s="154" t="s">
        <v>586</v>
      </c>
      <c r="F95" s="273">
        <f>IF(InpOfwat!F95&lt;&gt;"",InpOfwat!F95,InpCompany!F95)</f>
        <v>103.2</v>
      </c>
      <c r="G95" s="109" t="s">
        <v>155</v>
      </c>
      <c r="H95" s="154"/>
      <c r="I95" s="181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81"/>
      <c r="U95" s="181"/>
      <c r="V95" s="181"/>
      <c r="W95" s="181"/>
      <c r="X95" s="181"/>
    </row>
    <row r="96" spans="1:24" s="180" customFormat="1" x14ac:dyDescent="0.2">
      <c r="A96" s="181"/>
      <c r="B96" s="181"/>
      <c r="C96" s="181"/>
      <c r="D96" s="181"/>
      <c r="E96" s="154" t="s">
        <v>587</v>
      </c>
      <c r="F96" s="273">
        <f>IF(InpOfwat!F96&lt;&gt;"",InpOfwat!F96,InpCompany!F96)</f>
        <v>103.5</v>
      </c>
      <c r="G96" s="109" t="s">
        <v>155</v>
      </c>
      <c r="H96" s="154"/>
      <c r="I96" s="181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81"/>
      <c r="U96" s="181"/>
      <c r="V96" s="181"/>
      <c r="W96" s="181"/>
      <c r="X96" s="181"/>
    </row>
    <row r="97" spans="1:24" s="180" customFormat="1" x14ac:dyDescent="0.2">
      <c r="A97" s="181"/>
      <c r="B97" s="181"/>
      <c r="C97" s="181"/>
      <c r="D97" s="181"/>
      <c r="E97" s="154" t="s">
        <v>588</v>
      </c>
      <c r="F97" s="273">
        <f>IF(InpOfwat!F97&lt;&gt;"",InpOfwat!F97,InpCompany!F97)</f>
        <v>103.5</v>
      </c>
      <c r="G97" s="109" t="s">
        <v>155</v>
      </c>
      <c r="H97" s="154"/>
      <c r="I97" s="181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81"/>
      <c r="U97" s="181"/>
      <c r="V97" s="181"/>
      <c r="W97" s="181"/>
      <c r="X97" s="181"/>
    </row>
    <row r="98" spans="1:24" s="180" customFormat="1" x14ac:dyDescent="0.2">
      <c r="A98" s="181"/>
      <c r="B98" s="181"/>
      <c r="C98" s="181"/>
      <c r="D98" s="181"/>
      <c r="E98" s="154" t="s">
        <v>589</v>
      </c>
      <c r="F98" s="273">
        <f>IF(InpOfwat!F98&lt;&gt;"",InpOfwat!F98,InpCompany!F98)</f>
        <v>103.5</v>
      </c>
      <c r="G98" s="109" t="s">
        <v>155</v>
      </c>
      <c r="H98" s="154"/>
      <c r="I98" s="181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81"/>
      <c r="U98" s="181"/>
      <c r="V98" s="181"/>
      <c r="W98" s="181"/>
      <c r="X98" s="181"/>
    </row>
    <row r="99" spans="1:24" s="180" customFormat="1" x14ac:dyDescent="0.2">
      <c r="A99" s="181"/>
      <c r="B99" s="181"/>
      <c r="C99" s="181"/>
      <c r="D99" s="181"/>
      <c r="E99" s="154" t="s">
        <v>590</v>
      </c>
      <c r="F99" s="273">
        <f>IF(InpOfwat!F99&lt;&gt;"",InpOfwat!F99,InpCompany!F99)</f>
        <v>104</v>
      </c>
      <c r="G99" s="109" t="s">
        <v>155</v>
      </c>
      <c r="H99" s="154"/>
      <c r="I99" s="181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81"/>
      <c r="U99" s="181"/>
      <c r="V99" s="181"/>
      <c r="W99" s="181"/>
      <c r="X99" s="181"/>
    </row>
    <row r="100" spans="1:24" s="180" customFormat="1" x14ac:dyDescent="0.2">
      <c r="A100" s="181"/>
      <c r="B100" s="181"/>
      <c r="C100" s="181"/>
      <c r="D100" s="181"/>
      <c r="E100" s="154" t="s">
        <v>591</v>
      </c>
      <c r="F100" s="273">
        <f>IF(InpOfwat!F100&lt;&gt;"",InpOfwat!F100,InpCompany!F100)</f>
        <v>104.3</v>
      </c>
      <c r="G100" s="109" t="s">
        <v>155</v>
      </c>
      <c r="H100" s="154"/>
      <c r="I100" s="181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81"/>
      <c r="U100" s="181"/>
      <c r="V100" s="181"/>
      <c r="W100" s="181"/>
      <c r="X100" s="181"/>
    </row>
    <row r="101" spans="1:24" s="180" customFormat="1" x14ac:dyDescent="0.2">
      <c r="A101" s="181"/>
      <c r="B101" s="181"/>
      <c r="C101" s="181"/>
      <c r="D101" s="181"/>
      <c r="E101" s="154" t="s">
        <v>592</v>
      </c>
      <c r="F101" s="273">
        <f>IF(InpOfwat!F101&lt;&gt;"",InpOfwat!F101,InpCompany!F101)</f>
        <v>104.4</v>
      </c>
      <c r="G101" s="109" t="s">
        <v>155</v>
      </c>
      <c r="H101" s="154"/>
      <c r="I101" s="181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81"/>
      <c r="U101" s="181"/>
      <c r="V101" s="181"/>
      <c r="W101" s="181"/>
      <c r="X101" s="181"/>
    </row>
    <row r="102" spans="1:24" s="180" customFormat="1" x14ac:dyDescent="0.2">
      <c r="A102" s="181"/>
      <c r="B102" s="181"/>
      <c r="C102" s="181"/>
      <c r="D102" s="181"/>
      <c r="E102" s="154" t="s">
        <v>593</v>
      </c>
      <c r="F102" s="273">
        <f>IF(InpOfwat!F102&lt;&gt;"",InpOfwat!F102,InpCompany!F102)</f>
        <v>104.7</v>
      </c>
      <c r="G102" s="109" t="s">
        <v>155</v>
      </c>
      <c r="H102" s="154"/>
      <c r="I102" s="181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81"/>
      <c r="U102" s="181"/>
      <c r="V102" s="181"/>
      <c r="W102" s="181"/>
      <c r="X102" s="181"/>
    </row>
    <row r="103" spans="1:24" s="180" customFormat="1" x14ac:dyDescent="0.2">
      <c r="A103" s="181"/>
      <c r="B103" s="181"/>
      <c r="C103" s="181"/>
      <c r="D103" s="181"/>
      <c r="E103" s="154" t="s">
        <v>594</v>
      </c>
      <c r="F103" s="273">
        <f>IF(InpOfwat!F103&lt;&gt;"",InpOfwat!F103,InpCompany!F103)</f>
        <v>105</v>
      </c>
      <c r="G103" s="109" t="s">
        <v>155</v>
      </c>
      <c r="H103" s="154"/>
      <c r="I103" s="181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81"/>
      <c r="U103" s="181"/>
      <c r="V103" s="181"/>
      <c r="W103" s="181"/>
      <c r="X103" s="181"/>
    </row>
    <row r="104" spans="1:24" s="180" customFormat="1" x14ac:dyDescent="0.2">
      <c r="A104" s="181"/>
      <c r="B104" s="181"/>
      <c r="C104" s="181"/>
      <c r="D104" s="181"/>
      <c r="E104" s="154" t="s">
        <v>595</v>
      </c>
      <c r="F104" s="273">
        <f>IF(InpOfwat!F104&lt;&gt;"",InpOfwat!F104,InpCompany!F104)</f>
        <v>104.5</v>
      </c>
      <c r="G104" s="109" t="s">
        <v>155</v>
      </c>
      <c r="H104" s="154"/>
      <c r="I104" s="181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81"/>
      <c r="U104" s="181"/>
      <c r="V104" s="181"/>
      <c r="W104" s="181"/>
      <c r="X104" s="181"/>
    </row>
    <row r="105" spans="1:24" s="180" customFormat="1" x14ac:dyDescent="0.2">
      <c r="A105" s="181"/>
      <c r="B105" s="181"/>
      <c r="C105" s="181"/>
      <c r="D105" s="181"/>
      <c r="E105" s="154" t="s">
        <v>596</v>
      </c>
      <c r="F105" s="273">
        <f>IF(InpOfwat!F105&lt;&gt;"",InpOfwat!F105,InpCompany!F105)</f>
        <v>104.9</v>
      </c>
      <c r="G105" s="109" t="s">
        <v>155</v>
      </c>
      <c r="H105" s="154"/>
      <c r="I105" s="181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81"/>
      <c r="U105" s="181"/>
      <c r="V105" s="181"/>
      <c r="W105" s="181"/>
      <c r="X105" s="181"/>
    </row>
    <row r="106" spans="1:24" s="180" customFormat="1" x14ac:dyDescent="0.2">
      <c r="A106" s="181"/>
      <c r="B106" s="181"/>
      <c r="C106" s="181"/>
      <c r="D106" s="181"/>
      <c r="E106" s="154" t="s">
        <v>597</v>
      </c>
      <c r="F106" s="273">
        <f>IF(InpOfwat!F106&lt;&gt;"",InpOfwat!F106,InpCompany!F106)</f>
        <v>105.1</v>
      </c>
      <c r="G106" s="109" t="s">
        <v>155</v>
      </c>
      <c r="H106" s="154"/>
      <c r="I106" s="181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81"/>
      <c r="U106" s="181"/>
      <c r="V106" s="181"/>
      <c r="W106" s="181"/>
      <c r="X106" s="181"/>
    </row>
    <row r="107" spans="1:24" s="180" customFormat="1" x14ac:dyDescent="0.2">
      <c r="A107" s="181"/>
      <c r="B107" s="181"/>
      <c r="C107" s="181"/>
      <c r="D107" s="181"/>
      <c r="E107" s="154" t="s">
        <v>598</v>
      </c>
      <c r="F107" s="378">
        <f>AVERAGE(F95:F106)</f>
        <v>104.21666666666665</v>
      </c>
      <c r="G107" s="109" t="s">
        <v>155</v>
      </c>
      <c r="H107" s="154"/>
      <c r="I107" s="181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81"/>
      <c r="U107" s="181"/>
      <c r="V107" s="181"/>
      <c r="W107" s="181"/>
      <c r="X107" s="181"/>
    </row>
    <row r="108" spans="1:24" s="180" customFormat="1" x14ac:dyDescent="0.2">
      <c r="A108" s="181"/>
      <c r="B108" s="181"/>
      <c r="C108" s="181"/>
      <c r="D108" s="181"/>
      <c r="E108" s="154"/>
      <c r="F108" s="154"/>
      <c r="G108" s="109"/>
      <c r="H108" s="154"/>
      <c r="I108" s="181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81"/>
      <c r="U108" s="181"/>
      <c r="V108" s="181"/>
      <c r="W108" s="181"/>
      <c r="X108" s="181"/>
    </row>
    <row r="109" spans="1:24" s="180" customFormat="1" x14ac:dyDescent="0.2">
      <c r="A109" s="181"/>
      <c r="B109" s="181"/>
      <c r="C109" s="181"/>
      <c r="D109" s="181"/>
      <c r="E109" s="154" t="s">
        <v>599</v>
      </c>
      <c r="F109" s="273">
        <f>IF(InpOfwat!F109&lt;&gt;"",InpOfwat!F109,InpCompany!F109)</f>
        <v>123.04166666666664</v>
      </c>
      <c r="G109" s="109" t="s">
        <v>155</v>
      </c>
      <c r="H109" s="154"/>
      <c r="I109" s="181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81"/>
      <c r="U109" s="181"/>
      <c r="V109" s="181"/>
      <c r="W109" s="181"/>
      <c r="X109" s="181"/>
    </row>
    <row r="110" spans="1:24" s="180" customFormat="1" x14ac:dyDescent="0.2">
      <c r="A110" s="181"/>
      <c r="B110" s="181"/>
      <c r="C110" s="181"/>
      <c r="D110" s="181"/>
      <c r="E110" s="154"/>
      <c r="F110" s="154"/>
      <c r="G110" s="154"/>
      <c r="H110" s="154"/>
      <c r="I110" s="181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81"/>
      <c r="U110" s="181"/>
      <c r="V110" s="181"/>
      <c r="W110" s="181"/>
      <c r="X110" s="181"/>
    </row>
    <row r="111" spans="1:24" s="180" customFormat="1" x14ac:dyDescent="0.2">
      <c r="A111" s="181"/>
      <c r="B111" s="185" t="s">
        <v>600</v>
      </c>
      <c r="C111" s="181"/>
      <c r="D111" s="181"/>
      <c r="E111" s="154"/>
      <c r="F111" s="154"/>
      <c r="G111" s="154"/>
      <c r="H111" s="154"/>
      <c r="I111" s="181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81"/>
      <c r="U111" s="181"/>
      <c r="V111" s="181"/>
      <c r="W111" s="181"/>
      <c r="X111" s="181"/>
    </row>
    <row r="112" spans="1:24" s="180" customFormat="1" x14ac:dyDescent="0.2">
      <c r="A112" s="181"/>
      <c r="B112" s="181"/>
      <c r="C112" s="181"/>
      <c r="D112" s="181"/>
      <c r="E112" s="154"/>
      <c r="F112" s="154"/>
      <c r="G112" s="154"/>
      <c r="H112" s="154"/>
      <c r="I112" s="181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81"/>
      <c r="U112" s="181"/>
      <c r="V112" s="181"/>
      <c r="W112" s="181"/>
      <c r="X112" s="181"/>
    </row>
    <row r="113" spans="1:24" s="180" customFormat="1" x14ac:dyDescent="0.2">
      <c r="A113" s="181"/>
      <c r="B113" s="181"/>
      <c r="C113" s="181"/>
      <c r="D113" s="186" t="s">
        <v>164</v>
      </c>
      <c r="E113" s="154"/>
      <c r="F113" s="154"/>
      <c r="G113" s="154"/>
      <c r="H113" s="154"/>
      <c r="I113" s="181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81"/>
      <c r="U113" s="181"/>
      <c r="V113" s="181"/>
      <c r="W113" s="181"/>
      <c r="X113" s="181"/>
    </row>
    <row r="114" spans="1:24" s="180" customFormat="1" x14ac:dyDescent="0.2">
      <c r="A114" s="181"/>
      <c r="B114" s="181"/>
      <c r="C114" s="181"/>
      <c r="D114" s="186"/>
      <c r="E114" s="181" t="s">
        <v>601</v>
      </c>
      <c r="F114" s="181"/>
      <c r="G114" s="181" t="s">
        <v>602</v>
      </c>
      <c r="H114" s="181"/>
      <c r="I114" s="181"/>
      <c r="J114" s="153"/>
      <c r="K114" s="153"/>
      <c r="L114" s="153"/>
      <c r="M114" s="153"/>
      <c r="N114" s="153"/>
      <c r="O114" s="153"/>
      <c r="P114" s="153"/>
      <c r="Q114" s="153"/>
      <c r="R114" s="153"/>
      <c r="S114" s="272">
        <f>IF(InpOfwat!S114&lt;&gt;"",InpOfwat!S114,InpCompany!S114)</f>
        <v>0</v>
      </c>
      <c r="T114" s="153"/>
      <c r="U114" s="153"/>
      <c r="V114" s="153"/>
      <c r="W114" s="153"/>
      <c r="X114" s="153"/>
    </row>
    <row r="115" spans="1:24" s="87" customFormat="1" x14ac:dyDescent="0.2">
      <c r="D115" s="191"/>
      <c r="E115" s="95" t="s">
        <v>338</v>
      </c>
      <c r="F115" s="95"/>
      <c r="G115" s="95" t="s">
        <v>584</v>
      </c>
      <c r="H115" s="95"/>
      <c r="J115" s="192"/>
      <c r="K115" s="192"/>
      <c r="L115" s="192"/>
      <c r="M115" s="192"/>
      <c r="N115" s="192"/>
      <c r="O115" s="192"/>
      <c r="P115" s="192"/>
      <c r="Q115" s="192"/>
      <c r="R115" s="192"/>
      <c r="S115" s="192"/>
      <c r="T115" s="272">
        <f>IF(InpOfwat!T115&lt;&gt;"",InpOfwat!T115,InpCompany!T115)</f>
        <v>0</v>
      </c>
      <c r="U115" s="272">
        <f>IF(InpOfwat!U115&lt;&gt;"",InpOfwat!U115,InpCompany!U115)</f>
        <v>0</v>
      </c>
      <c r="V115" s="272">
        <f>IF(InpOfwat!V115&lt;&gt;"",InpOfwat!V115,InpCompany!V115)</f>
        <v>0</v>
      </c>
      <c r="W115" s="272">
        <f>IF(InpOfwat!W115&lt;&gt;"",InpOfwat!W115,InpCompany!W115)</f>
        <v>0</v>
      </c>
      <c r="X115" s="272">
        <f>IF(InpOfwat!X115&lt;&gt;"",InpOfwat!X115,InpCompany!X115)</f>
        <v>0</v>
      </c>
    </row>
    <row r="116" spans="1:24" s="180" customFormat="1" x14ac:dyDescent="0.2">
      <c r="A116" s="181"/>
      <c r="B116" s="181"/>
      <c r="C116" s="181"/>
      <c r="D116" s="186"/>
      <c r="E116" s="154"/>
      <c r="F116" s="154"/>
      <c r="G116" s="154"/>
      <c r="H116" s="154"/>
      <c r="I116" s="181"/>
      <c r="J116" s="154"/>
      <c r="K116" s="154"/>
      <c r="L116" s="154"/>
      <c r="M116" s="154"/>
      <c r="N116" s="154"/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</row>
    <row r="117" spans="1:24" s="180" customFormat="1" x14ac:dyDescent="0.2">
      <c r="A117" s="181"/>
      <c r="B117" s="181"/>
      <c r="C117" s="181"/>
      <c r="D117" s="186" t="s">
        <v>168</v>
      </c>
      <c r="E117" s="181"/>
      <c r="F117" s="181"/>
      <c r="G117" s="181"/>
      <c r="H117" s="181"/>
      <c r="I117" s="181"/>
      <c r="J117" s="181"/>
      <c r="K117" s="181"/>
      <c r="L117" s="181"/>
      <c r="M117" s="181"/>
      <c r="N117" s="154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</row>
    <row r="118" spans="1:24" s="180" customFormat="1" x14ac:dyDescent="0.2">
      <c r="A118" s="181"/>
      <c r="B118" s="181"/>
      <c r="C118" s="181"/>
      <c r="D118" s="186"/>
      <c r="E118" s="181" t="s">
        <v>603</v>
      </c>
      <c r="F118" s="181"/>
      <c r="G118" s="181" t="s">
        <v>602</v>
      </c>
      <c r="H118" s="181"/>
      <c r="I118" s="181"/>
      <c r="J118" s="153"/>
      <c r="K118" s="153"/>
      <c r="L118" s="153"/>
      <c r="M118" s="153"/>
      <c r="N118" s="153"/>
      <c r="O118" s="153"/>
      <c r="P118" s="153"/>
      <c r="Q118" s="153"/>
      <c r="R118" s="153"/>
      <c r="S118" s="272">
        <f>IF(InpOfwat!S118&lt;&gt;"",InpOfwat!S118,InpCompany!S118)</f>
        <v>0</v>
      </c>
      <c r="T118" s="239"/>
      <c r="U118" s="239"/>
      <c r="V118" s="239"/>
      <c r="W118" s="239"/>
      <c r="X118" s="239"/>
    </row>
    <row r="119" spans="1:24" s="87" customFormat="1" x14ac:dyDescent="0.2">
      <c r="D119" s="191"/>
      <c r="E119" s="95" t="s">
        <v>342</v>
      </c>
      <c r="F119" s="95"/>
      <c r="G119" s="95" t="s">
        <v>584</v>
      </c>
      <c r="H119" s="95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272">
        <f>IF(InpOfwat!T119&lt;&gt;"",InpOfwat!T119,InpCompany!T119)</f>
        <v>0</v>
      </c>
      <c r="U119" s="272">
        <f>IF(InpOfwat!U119&lt;&gt;"",InpOfwat!U119,InpCompany!U119)</f>
        <v>0</v>
      </c>
      <c r="V119" s="272">
        <f>IF(InpOfwat!V119&lt;&gt;"",InpOfwat!V119,InpCompany!V119)</f>
        <v>0</v>
      </c>
      <c r="W119" s="272">
        <f>IF(InpOfwat!W119&lt;&gt;"",InpOfwat!W119,InpCompany!W119)</f>
        <v>0</v>
      </c>
      <c r="X119" s="272">
        <f>IF(InpOfwat!X119&lt;&gt;"",InpOfwat!X119,InpCompany!X119)</f>
        <v>0</v>
      </c>
    </row>
    <row r="120" spans="1:24" s="180" customFormat="1" x14ac:dyDescent="0.2">
      <c r="A120" s="181"/>
      <c r="B120" s="181"/>
      <c r="C120" s="181"/>
      <c r="D120" s="186"/>
      <c r="E120" s="181"/>
      <c r="F120" s="181"/>
      <c r="G120" s="181"/>
      <c r="H120" s="181"/>
      <c r="I120" s="181"/>
      <c r="J120" s="181"/>
      <c r="K120" s="181"/>
      <c r="L120" s="181"/>
      <c r="M120" s="181"/>
      <c r="N120" s="154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</row>
    <row r="121" spans="1:24" s="180" customFormat="1" x14ac:dyDescent="0.2">
      <c r="A121" s="181"/>
      <c r="B121" s="181"/>
      <c r="C121" s="181"/>
      <c r="D121" s="186" t="s">
        <v>171</v>
      </c>
      <c r="E121" s="181"/>
      <c r="F121" s="181"/>
      <c r="G121" s="181"/>
      <c r="H121" s="181"/>
      <c r="I121" s="181"/>
      <c r="J121" s="181"/>
      <c r="K121" s="181"/>
      <c r="L121" s="181"/>
      <c r="M121" s="181"/>
      <c r="N121" s="154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</row>
    <row r="122" spans="1:24" s="180" customFormat="1" x14ac:dyDescent="0.2">
      <c r="A122" s="181"/>
      <c r="B122" s="181"/>
      <c r="C122" s="181"/>
      <c r="D122" s="186"/>
      <c r="E122" s="181" t="s">
        <v>604</v>
      </c>
      <c r="F122" s="181"/>
      <c r="G122" s="181" t="s">
        <v>602</v>
      </c>
      <c r="H122" s="181"/>
      <c r="I122" s="181"/>
      <c r="J122" s="153"/>
      <c r="K122" s="153"/>
      <c r="L122" s="153"/>
      <c r="M122" s="153"/>
      <c r="N122" s="153"/>
      <c r="O122" s="153"/>
      <c r="P122" s="153"/>
      <c r="Q122" s="239"/>
      <c r="R122" s="239"/>
      <c r="S122" s="272">
        <f>IF(InpOfwat!S122&lt;&gt;"",InpOfwat!S122,InpCompany!S122)</f>
        <v>0</v>
      </c>
      <c r="T122" s="239"/>
      <c r="U122" s="239"/>
      <c r="V122" s="239"/>
      <c r="W122" s="239"/>
      <c r="X122" s="239"/>
    </row>
    <row r="123" spans="1:24" s="87" customFormat="1" x14ac:dyDescent="0.2">
      <c r="D123" s="191"/>
      <c r="E123" s="95" t="s">
        <v>346</v>
      </c>
      <c r="F123" s="95"/>
      <c r="G123" s="95" t="s">
        <v>584</v>
      </c>
      <c r="H123" s="95"/>
      <c r="J123" s="192"/>
      <c r="K123" s="192"/>
      <c r="L123" s="192"/>
      <c r="M123" s="192"/>
      <c r="N123" s="192"/>
      <c r="O123" s="192"/>
      <c r="P123" s="192"/>
      <c r="Q123" s="192"/>
      <c r="R123" s="192"/>
      <c r="S123" s="192"/>
      <c r="T123" s="272">
        <f>IF(InpOfwat!T123&lt;&gt;"",InpOfwat!T123,InpCompany!T123)</f>
        <v>0</v>
      </c>
      <c r="U123" s="272">
        <f>IF(InpOfwat!U123&lt;&gt;"",InpOfwat!U123,InpCompany!U123)</f>
        <v>0</v>
      </c>
      <c r="V123" s="272">
        <f>IF(InpOfwat!V123&lt;&gt;"",InpOfwat!V123,InpCompany!V123)</f>
        <v>0</v>
      </c>
      <c r="W123" s="272">
        <f>IF(InpOfwat!W123&lt;&gt;"",InpOfwat!W123,InpCompany!W123)</f>
        <v>0</v>
      </c>
      <c r="X123" s="272">
        <f>IF(InpOfwat!X123&lt;&gt;"",InpOfwat!X123,InpCompany!X123)</f>
        <v>0</v>
      </c>
    </row>
    <row r="124" spans="1:24" s="180" customFormat="1" x14ac:dyDescent="0.2">
      <c r="A124" s="181"/>
      <c r="B124" s="181"/>
      <c r="C124" s="181"/>
      <c r="D124" s="186"/>
      <c r="E124" s="181"/>
      <c r="F124" s="181"/>
      <c r="G124" s="181"/>
      <c r="H124" s="181"/>
      <c r="I124" s="181"/>
      <c r="J124" s="181"/>
      <c r="K124" s="181"/>
      <c r="L124" s="181"/>
      <c r="M124" s="181"/>
      <c r="N124" s="154"/>
      <c r="O124" s="238"/>
      <c r="P124" s="238"/>
      <c r="Q124" s="238"/>
      <c r="R124" s="238"/>
      <c r="S124" s="238"/>
      <c r="T124" s="238"/>
      <c r="U124" s="238"/>
      <c r="V124" s="238"/>
      <c r="W124" s="238"/>
      <c r="X124" s="238"/>
    </row>
    <row r="125" spans="1:24" s="180" customFormat="1" x14ac:dyDescent="0.2">
      <c r="A125" s="181"/>
      <c r="B125" s="181"/>
      <c r="C125" s="181"/>
      <c r="D125" s="186" t="s">
        <v>177</v>
      </c>
      <c r="E125" s="181"/>
      <c r="F125" s="181"/>
      <c r="G125" s="181"/>
      <c r="H125" s="181"/>
      <c r="I125" s="181"/>
      <c r="J125" s="181"/>
      <c r="K125" s="181"/>
      <c r="L125" s="181"/>
      <c r="M125" s="181"/>
      <c r="N125" s="154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</row>
    <row r="126" spans="1:24" s="180" customFormat="1" x14ac:dyDescent="0.2">
      <c r="A126" s="181"/>
      <c r="B126" s="181"/>
      <c r="C126" s="181"/>
      <c r="D126" s="186"/>
      <c r="E126" s="154" t="s">
        <v>605</v>
      </c>
      <c r="F126" s="154"/>
      <c r="G126" s="154" t="s">
        <v>606</v>
      </c>
      <c r="H126" s="154"/>
      <c r="I126" s="181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277">
        <f>IF(InpOfwat!T126&lt;&gt;"",InpOfwat!T126,InpCompany!T126)</f>
        <v>0</v>
      </c>
      <c r="U126" s="277">
        <f>IF(InpOfwat!U126&lt;&gt;"",InpOfwat!U126,InpCompany!U126)</f>
        <v>0</v>
      </c>
      <c r="V126" s="277">
        <f>IF(InpOfwat!V126&lt;&gt;"",InpOfwat!V126,InpCompany!V126)</f>
        <v>0</v>
      </c>
      <c r="W126" s="277">
        <f>IF(InpOfwat!W126&lt;&gt;"",InpOfwat!W126,InpCompany!W126)</f>
        <v>0</v>
      </c>
      <c r="X126" s="277">
        <f>IF(InpOfwat!X126&lt;&gt;"",InpOfwat!X126,InpCompany!X126)</f>
        <v>0</v>
      </c>
    </row>
    <row r="127" spans="1:24" s="180" customFormat="1" x14ac:dyDescent="0.2">
      <c r="A127" s="181"/>
      <c r="B127" s="181"/>
      <c r="C127" s="181"/>
      <c r="D127" s="186"/>
      <c r="E127" s="181"/>
      <c r="F127" s="181"/>
      <c r="G127" s="181"/>
      <c r="H127" s="181"/>
      <c r="I127" s="181"/>
      <c r="J127" s="181"/>
      <c r="K127" s="181"/>
      <c r="L127" s="181"/>
      <c r="M127" s="181"/>
      <c r="N127" s="154"/>
      <c r="O127" s="238"/>
      <c r="P127" s="238"/>
      <c r="Q127" s="238"/>
      <c r="R127" s="238"/>
      <c r="S127" s="238"/>
      <c r="T127" s="238"/>
      <c r="U127" s="238"/>
      <c r="V127" s="238"/>
      <c r="W127" s="238"/>
      <c r="X127" s="238"/>
    </row>
    <row r="128" spans="1:24" s="180" customFormat="1" x14ac:dyDescent="0.2">
      <c r="A128" s="181"/>
      <c r="B128" s="181"/>
      <c r="C128" s="181"/>
      <c r="D128" s="186" t="s">
        <v>173</v>
      </c>
      <c r="E128" s="181"/>
      <c r="F128" s="181"/>
      <c r="G128" s="181"/>
      <c r="H128" s="181"/>
      <c r="I128" s="181"/>
      <c r="J128" s="181"/>
      <c r="K128" s="181"/>
      <c r="L128" s="181"/>
      <c r="M128" s="181"/>
      <c r="N128" s="154"/>
      <c r="O128" s="238"/>
      <c r="P128" s="238"/>
      <c r="Q128" s="238"/>
      <c r="R128" s="238"/>
      <c r="S128" s="238"/>
      <c r="T128" s="238"/>
      <c r="U128" s="238"/>
      <c r="V128" s="238"/>
      <c r="W128" s="238"/>
      <c r="X128" s="238"/>
    </row>
    <row r="129" spans="1:24" s="180" customFormat="1" x14ac:dyDescent="0.2">
      <c r="A129" s="181"/>
      <c r="B129" s="181"/>
      <c r="C129" s="181"/>
      <c r="D129" s="186"/>
      <c r="E129" s="154" t="s">
        <v>349</v>
      </c>
      <c r="F129" s="154"/>
      <c r="G129" s="154" t="s">
        <v>607</v>
      </c>
      <c r="H129" s="154"/>
      <c r="I129" s="181"/>
      <c r="J129" s="153"/>
      <c r="K129" s="153"/>
      <c r="L129" s="153"/>
      <c r="M129" s="153"/>
      <c r="N129" s="153"/>
      <c r="O129" s="239"/>
      <c r="P129" s="239"/>
      <c r="Q129" s="239"/>
      <c r="R129" s="239"/>
      <c r="S129" s="239"/>
      <c r="T129" s="277">
        <f>IF(InpOfwat!T129&lt;&gt;"",InpOfwat!T129,InpCompany!T129)</f>
        <v>0</v>
      </c>
      <c r="U129" s="277">
        <f>IF(InpOfwat!U129&lt;&gt;"",InpOfwat!U129,InpCompany!U129)</f>
        <v>0</v>
      </c>
      <c r="V129" s="277">
        <f>IF(InpOfwat!V129&lt;&gt;"",InpOfwat!V129,InpCompany!V129)</f>
        <v>0</v>
      </c>
      <c r="W129" s="277">
        <f>IF(InpOfwat!W129&lt;&gt;"",InpOfwat!W129,InpCompany!W129)</f>
        <v>0</v>
      </c>
      <c r="X129" s="277">
        <f>IF(InpOfwat!X129&lt;&gt;"",InpOfwat!X129,InpCompany!X129)</f>
        <v>0</v>
      </c>
    </row>
    <row r="130" spans="1:24" s="180" customFormat="1" x14ac:dyDescent="0.2">
      <c r="A130" s="181"/>
      <c r="B130" s="181"/>
      <c r="C130" s="181"/>
      <c r="D130" s="186"/>
      <c r="E130" s="154" t="s">
        <v>307</v>
      </c>
      <c r="F130" s="154"/>
      <c r="G130" s="154" t="s">
        <v>308</v>
      </c>
      <c r="H130" s="154"/>
      <c r="I130" s="181"/>
      <c r="J130" s="153"/>
      <c r="K130" s="153"/>
      <c r="L130" s="153"/>
      <c r="M130" s="153"/>
      <c r="N130" s="153"/>
      <c r="O130" s="239"/>
      <c r="P130" s="239"/>
      <c r="Q130" s="239"/>
      <c r="R130" s="239"/>
      <c r="S130" s="239"/>
      <c r="T130" s="277">
        <f>IF(InpOfwat!T130&lt;&gt;"",InpOfwat!T130,InpCompany!T130)</f>
        <v>0</v>
      </c>
      <c r="U130" s="277">
        <f>IF(InpOfwat!U130&lt;&gt;"",InpOfwat!U130,InpCompany!U130)</f>
        <v>0</v>
      </c>
      <c r="V130" s="277">
        <f>IF(InpOfwat!V130&lt;&gt;"",InpOfwat!V130,InpCompany!V130)</f>
        <v>0</v>
      </c>
      <c r="W130" s="277">
        <f>IF(InpOfwat!W130&lt;&gt;"",InpOfwat!W130,InpCompany!W130)</f>
        <v>0</v>
      </c>
      <c r="X130" s="277">
        <f>IF(InpOfwat!X130&lt;&gt;"",InpOfwat!X130,InpCompany!X130)</f>
        <v>0</v>
      </c>
    </row>
    <row r="131" spans="1:24" s="180" customFormat="1" x14ac:dyDescent="0.2">
      <c r="A131" s="181"/>
      <c r="B131" s="181"/>
      <c r="C131" s="181"/>
      <c r="D131" s="186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1"/>
      <c r="X131" s="181"/>
    </row>
    <row r="132" spans="1:24" s="180" customFormat="1" x14ac:dyDescent="0.2">
      <c r="A132" s="181"/>
      <c r="B132" s="181"/>
      <c r="C132" s="181"/>
      <c r="D132" s="155" t="s">
        <v>175</v>
      </c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</row>
    <row r="133" spans="1:24" s="180" customFormat="1" x14ac:dyDescent="0.2">
      <c r="A133" s="181"/>
      <c r="B133" s="181"/>
      <c r="C133" s="181"/>
      <c r="D133" s="186"/>
      <c r="E133" s="181" t="s">
        <v>314</v>
      </c>
      <c r="F133" s="154"/>
      <c r="G133" s="181" t="s">
        <v>233</v>
      </c>
      <c r="H133" s="154"/>
      <c r="I133" s="181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382">
        <f>IF(InpOfwat!T133&lt;&gt;"",InpOfwat!T133,InpCompany!T133)</f>
        <v>0</v>
      </c>
      <c r="U133" s="382">
        <f>IF(InpOfwat!U133&lt;&gt;"",InpOfwat!U133,InpCompany!U133)</f>
        <v>0</v>
      </c>
      <c r="V133" s="382">
        <f>IF(InpOfwat!V133&lt;&gt;"",InpOfwat!V133,InpCompany!V133)</f>
        <v>0</v>
      </c>
      <c r="W133" s="382">
        <f>IF(InpOfwat!W133&lt;&gt;"",InpOfwat!W133,InpCompany!W133)</f>
        <v>0</v>
      </c>
      <c r="X133" s="382">
        <f>IF(InpOfwat!X133&lt;&gt;"",InpOfwat!X133,InpCompany!X133)</f>
        <v>0</v>
      </c>
    </row>
    <row r="134" spans="1:24" s="180" customFormat="1" x14ac:dyDescent="0.2">
      <c r="A134" s="181"/>
      <c r="B134" s="181"/>
      <c r="C134" s="181"/>
      <c r="D134" s="186"/>
      <c r="E134" s="181" t="s">
        <v>316</v>
      </c>
      <c r="F134" s="154"/>
      <c r="G134" s="181" t="s">
        <v>233</v>
      </c>
      <c r="H134" s="154"/>
      <c r="I134" s="181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382">
        <f>IF(InpOfwat!T134&lt;&gt;"",InpOfwat!T134,InpCompany!T134)</f>
        <v>0</v>
      </c>
      <c r="U134" s="382">
        <f>IF(InpOfwat!U134&lt;&gt;"",InpOfwat!U134,InpCompany!U134)</f>
        <v>0</v>
      </c>
      <c r="V134" s="382">
        <f>IF(InpOfwat!V134&lt;&gt;"",InpOfwat!V134,InpCompany!V134)</f>
        <v>0</v>
      </c>
      <c r="W134" s="382">
        <f>IF(InpOfwat!W134&lt;&gt;"",InpOfwat!W134,InpCompany!W134)</f>
        <v>0</v>
      </c>
      <c r="X134" s="382">
        <f>IF(InpOfwat!X134&lt;&gt;"",InpOfwat!X134,InpCompany!X134)</f>
        <v>0</v>
      </c>
    </row>
    <row r="135" spans="1:24" s="180" customFormat="1" x14ac:dyDescent="0.2">
      <c r="A135" s="181"/>
      <c r="B135" s="181"/>
      <c r="C135" s="181"/>
      <c r="D135" s="186"/>
      <c r="E135" s="181"/>
      <c r="F135" s="154"/>
      <c r="G135" s="181"/>
      <c r="H135" s="154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</row>
    <row r="136" spans="1:24" s="180" customFormat="1" x14ac:dyDescent="0.2">
      <c r="A136" s="181"/>
      <c r="B136" s="181"/>
      <c r="C136" s="181"/>
      <c r="D136" s="186"/>
      <c r="E136" s="181" t="s">
        <v>318</v>
      </c>
      <c r="F136" s="154"/>
      <c r="G136" s="416" t="s">
        <v>308</v>
      </c>
      <c r="H136" s="154"/>
      <c r="I136" s="181"/>
      <c r="J136" s="153"/>
      <c r="K136" s="153"/>
      <c r="L136" s="153"/>
      <c r="M136" s="153"/>
      <c r="N136" s="153"/>
      <c r="O136" s="239"/>
      <c r="P136" s="239"/>
      <c r="Q136" s="239"/>
      <c r="R136" s="239"/>
      <c r="S136" s="239"/>
      <c r="T136" s="383">
        <f>IF(InpOfwat!T136&lt;&gt;"",InpOfwat!T136,InpCompany!T136)</f>
        <v>0</v>
      </c>
      <c r="U136" s="384">
        <f>IF(InpOfwat!U136&lt;&gt;"",InpOfwat!U136,InpCompany!U136)</f>
        <v>0</v>
      </c>
      <c r="V136" s="384">
        <f>IF(InpOfwat!V136&lt;&gt;"",InpOfwat!V136,InpCompany!V136)</f>
        <v>0</v>
      </c>
      <c r="W136" s="384">
        <f>IF(InpOfwat!W136&lt;&gt;"",InpOfwat!W136,InpCompany!W136)</f>
        <v>0</v>
      </c>
      <c r="X136" s="384">
        <f>IF(InpOfwat!X136&lt;&gt;"",InpOfwat!X136,InpCompany!X136)</f>
        <v>0</v>
      </c>
    </row>
    <row r="137" spans="1:24" s="180" customFormat="1" x14ac:dyDescent="0.2">
      <c r="A137" s="181"/>
      <c r="B137" s="181"/>
      <c r="C137" s="181"/>
      <c r="D137" s="186"/>
      <c r="E137" s="181" t="s">
        <v>320</v>
      </c>
      <c r="F137" s="154"/>
      <c r="G137" s="416" t="s">
        <v>308</v>
      </c>
      <c r="H137" s="154"/>
      <c r="I137" s="181"/>
      <c r="J137" s="153"/>
      <c r="K137" s="153"/>
      <c r="L137" s="153"/>
      <c r="M137" s="153"/>
      <c r="N137" s="153"/>
      <c r="O137" s="239"/>
      <c r="P137" s="239"/>
      <c r="Q137" s="239"/>
      <c r="R137" s="239"/>
      <c r="S137" s="239"/>
      <c r="T137" s="383">
        <f>IF(InpOfwat!T137&lt;&gt;"",InpOfwat!T137,InpCompany!T137)</f>
        <v>0</v>
      </c>
      <c r="U137" s="384">
        <f>IF(InpOfwat!U137&lt;&gt;"",InpOfwat!U137,InpCompany!U137)</f>
        <v>0</v>
      </c>
      <c r="V137" s="384">
        <f>IF(InpOfwat!V137&lt;&gt;"",InpOfwat!V137,InpCompany!V137)</f>
        <v>0</v>
      </c>
      <c r="W137" s="384">
        <f>IF(InpOfwat!W137&lt;&gt;"",InpOfwat!W137,InpCompany!W137)</f>
        <v>0</v>
      </c>
      <c r="X137" s="384">
        <f>IF(InpOfwat!X137&lt;&gt;"",InpOfwat!X137,InpCompany!X137)</f>
        <v>0</v>
      </c>
    </row>
    <row r="138" spans="1:24" s="181" customFormat="1" x14ac:dyDescent="0.2">
      <c r="D138" s="186"/>
      <c r="F138" s="154"/>
      <c r="H138" s="154"/>
    </row>
    <row r="139" spans="1:24" s="180" customFormat="1" x14ac:dyDescent="0.2">
      <c r="A139" s="181"/>
      <c r="B139" s="181"/>
      <c r="C139" s="181"/>
      <c r="D139" s="186"/>
      <c r="E139" s="181" t="s">
        <v>310</v>
      </c>
      <c r="F139" s="154"/>
      <c r="G139" s="181" t="s">
        <v>303</v>
      </c>
      <c r="H139" s="154"/>
      <c r="I139" s="181"/>
      <c r="J139" s="153"/>
      <c r="K139" s="153"/>
      <c r="L139" s="153"/>
      <c r="M139" s="153"/>
      <c r="N139" s="153"/>
      <c r="O139" s="239"/>
      <c r="P139" s="239"/>
      <c r="Q139" s="239"/>
      <c r="R139" s="239"/>
      <c r="S139" s="239"/>
      <c r="T139" s="383">
        <f>IF(InpOfwat!T139&lt;&gt;"",InpOfwat!T139,InpCompany!T139)</f>
        <v>0</v>
      </c>
      <c r="U139" s="384">
        <f>IF(InpOfwat!U139&lt;&gt;"",InpOfwat!U139,InpCompany!U139)</f>
        <v>0</v>
      </c>
      <c r="V139" s="384">
        <f>IF(InpOfwat!V139&lt;&gt;"",InpOfwat!V139,InpCompany!V139)</f>
        <v>0</v>
      </c>
      <c r="W139" s="384">
        <f>IF(InpOfwat!W139&lt;&gt;"",InpOfwat!W139,InpCompany!W139)</f>
        <v>0</v>
      </c>
      <c r="X139" s="384">
        <f>IF(InpOfwat!X139&lt;&gt;"",InpOfwat!X139,InpCompany!X139)</f>
        <v>0</v>
      </c>
    </row>
    <row r="140" spans="1:24" s="180" customFormat="1" x14ac:dyDescent="0.2">
      <c r="A140" s="181"/>
      <c r="B140" s="181"/>
      <c r="C140" s="181"/>
      <c r="D140" s="186"/>
      <c r="E140" s="181" t="s">
        <v>312</v>
      </c>
      <c r="F140" s="154"/>
      <c r="G140" s="181" t="s">
        <v>303</v>
      </c>
      <c r="H140" s="154"/>
      <c r="I140" s="181"/>
      <c r="J140" s="153"/>
      <c r="K140" s="153"/>
      <c r="L140" s="153"/>
      <c r="M140" s="153"/>
      <c r="N140" s="153"/>
      <c r="O140" s="239"/>
      <c r="P140" s="239"/>
      <c r="Q140" s="239"/>
      <c r="R140" s="239"/>
      <c r="S140" s="239"/>
      <c r="T140" s="383">
        <f>IF(InpOfwat!T140&lt;&gt;"",InpOfwat!T140,InpCompany!T140)</f>
        <v>0</v>
      </c>
      <c r="U140" s="384">
        <f>IF(InpOfwat!U140&lt;&gt;"",InpOfwat!U140,InpCompany!U140)</f>
        <v>0</v>
      </c>
      <c r="V140" s="384">
        <f>IF(InpOfwat!V140&lt;&gt;"",InpOfwat!V140,InpCompany!V140)</f>
        <v>0</v>
      </c>
      <c r="W140" s="384">
        <f>IF(InpOfwat!W140&lt;&gt;"",InpOfwat!W140,InpCompany!W140)</f>
        <v>0</v>
      </c>
      <c r="X140" s="384">
        <f>IF(InpOfwat!X140&lt;&gt;"",InpOfwat!X140,InpCompany!X140)</f>
        <v>0</v>
      </c>
    </row>
    <row r="141" spans="1:24" s="180" customFormat="1" x14ac:dyDescent="0.2">
      <c r="A141" s="181"/>
      <c r="B141" s="181"/>
      <c r="C141" s="181"/>
      <c r="D141" s="186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</row>
    <row r="142" spans="1:24" s="180" customFormat="1" x14ac:dyDescent="0.2">
      <c r="A142" s="181"/>
      <c r="B142" s="181"/>
      <c r="C142" s="181"/>
      <c r="D142" s="186" t="s">
        <v>179</v>
      </c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</row>
    <row r="143" spans="1:24" s="180" customFormat="1" x14ac:dyDescent="0.2">
      <c r="A143" s="181"/>
      <c r="B143" s="181"/>
      <c r="C143" s="181"/>
      <c r="D143" s="186"/>
      <c r="E143" s="400" t="s">
        <v>608</v>
      </c>
      <c r="F143" s="181"/>
      <c r="G143" s="181" t="s">
        <v>602</v>
      </c>
      <c r="H143" s="181"/>
      <c r="I143" s="181"/>
      <c r="J143" s="153"/>
      <c r="K143" s="153"/>
      <c r="L143" s="153"/>
      <c r="M143" s="153"/>
      <c r="N143" s="153"/>
      <c r="O143" s="153"/>
      <c r="P143" s="153"/>
      <c r="Q143" s="153"/>
      <c r="R143" s="153"/>
      <c r="S143" s="272">
        <f>IF(InpOfwat!S143&lt;&gt;"",InpOfwat!S143,InpCompany!S143)</f>
        <v>0</v>
      </c>
      <c r="T143" s="153"/>
      <c r="U143" s="153"/>
      <c r="V143" s="153"/>
      <c r="W143" s="153"/>
      <c r="X143" s="153"/>
    </row>
    <row r="144" spans="1:24" s="87" customFormat="1" x14ac:dyDescent="0.2">
      <c r="D144" s="191"/>
      <c r="E144" s="95" t="s">
        <v>359</v>
      </c>
      <c r="F144" s="95"/>
      <c r="G144" s="95" t="s">
        <v>584</v>
      </c>
      <c r="H144" s="95"/>
      <c r="J144" s="192"/>
      <c r="K144" s="192"/>
      <c r="L144" s="192"/>
      <c r="M144" s="192"/>
      <c r="N144" s="192"/>
      <c r="O144" s="192"/>
      <c r="P144" s="192"/>
      <c r="Q144" s="192"/>
      <c r="R144" s="192"/>
      <c r="S144" s="192"/>
      <c r="T144" s="272">
        <f>IF(InpOfwat!T144&lt;&gt;"",InpOfwat!T144,InpCompany!T144)</f>
        <v>0</v>
      </c>
      <c r="U144" s="272">
        <f>IF(InpOfwat!U144&lt;&gt;"",InpOfwat!U144,InpCompany!U144)</f>
        <v>0</v>
      </c>
      <c r="V144" s="272">
        <f>IF(InpOfwat!V144&lt;&gt;"",InpOfwat!V144,InpCompany!V144)</f>
        <v>0</v>
      </c>
      <c r="W144" s="272">
        <f>IF(InpOfwat!W144&lt;&gt;"",InpOfwat!W144,InpCompany!W144)</f>
        <v>0</v>
      </c>
      <c r="X144" s="272">
        <f>IF(InpOfwat!X144&lt;&gt;"",InpOfwat!X144,InpCompany!X144)</f>
        <v>0</v>
      </c>
    </row>
    <row r="145" spans="1:24" s="87" customFormat="1" x14ac:dyDescent="0.2">
      <c r="D145" s="191"/>
      <c r="E145" s="95"/>
      <c r="F145" s="95"/>
      <c r="G145" s="95"/>
      <c r="H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154"/>
      <c r="U145" s="154"/>
      <c r="V145" s="154"/>
      <c r="W145" s="154"/>
      <c r="X145" s="154"/>
    </row>
    <row r="146" spans="1:24" s="87" customFormat="1" x14ac:dyDescent="0.2">
      <c r="A146" s="181"/>
      <c r="B146" s="181"/>
      <c r="C146" s="181"/>
      <c r="D146" s="186" t="s">
        <v>181</v>
      </c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</row>
    <row r="147" spans="1:24" s="87" customFormat="1" x14ac:dyDescent="0.2">
      <c r="A147" s="181"/>
      <c r="B147" s="181"/>
      <c r="C147" s="181"/>
      <c r="D147" s="186"/>
      <c r="E147" s="181" t="s">
        <v>609</v>
      </c>
      <c r="F147" s="181"/>
      <c r="G147" s="181" t="s">
        <v>602</v>
      </c>
      <c r="H147" s="181"/>
      <c r="I147" s="181"/>
      <c r="J147" s="153"/>
      <c r="K147" s="153"/>
      <c r="L147" s="153"/>
      <c r="M147" s="153"/>
      <c r="N147" s="153"/>
      <c r="O147" s="153"/>
      <c r="P147" s="153"/>
      <c r="Q147" s="153"/>
      <c r="R147" s="153"/>
      <c r="S147" s="272">
        <f>IF(InpOfwat!S147&lt;&gt;"",InpOfwat!S147,InpCompany!S147)</f>
        <v>0</v>
      </c>
      <c r="T147" s="153"/>
      <c r="U147" s="153"/>
      <c r="V147" s="153"/>
      <c r="W147" s="153"/>
      <c r="X147" s="153"/>
    </row>
    <row r="148" spans="1:24" s="87" customFormat="1" x14ac:dyDescent="0.2">
      <c r="D148" s="191"/>
      <c r="E148" s="95" t="s">
        <v>362</v>
      </c>
      <c r="F148" s="95"/>
      <c r="G148" s="95" t="s">
        <v>584</v>
      </c>
      <c r="H148" s="95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272">
        <f>IF(InpOfwat!T148&lt;&gt;"",InpOfwat!T148,InpCompany!T148)</f>
        <v>0</v>
      </c>
      <c r="U148" s="272">
        <f>IF(InpOfwat!U148&lt;&gt;"",InpOfwat!U148,InpCompany!U148)</f>
        <v>0</v>
      </c>
      <c r="V148" s="272">
        <f>IF(InpOfwat!V148&lt;&gt;"",InpOfwat!V148,InpCompany!V148)</f>
        <v>0</v>
      </c>
      <c r="W148" s="272">
        <f>IF(InpOfwat!W148&lt;&gt;"",InpOfwat!W148,InpCompany!W148)</f>
        <v>0</v>
      </c>
      <c r="X148" s="272">
        <f>IF(InpOfwat!X148&lt;&gt;"",InpOfwat!X148,InpCompany!X148)</f>
        <v>0</v>
      </c>
    </row>
    <row r="149" spans="1:24" s="180" customFormat="1" x14ac:dyDescent="0.2">
      <c r="A149" s="181"/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</row>
    <row r="150" spans="1:24" s="401" customFormat="1" ht="13.5" x14ac:dyDescent="0.25">
      <c r="A150" s="209" t="s">
        <v>148</v>
      </c>
      <c r="B150" s="209"/>
      <c r="C150" s="209"/>
      <c r="D150" s="209"/>
      <c r="E150" s="209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</row>
    <row r="151" spans="1:24" s="180" customFormat="1" x14ac:dyDescent="0.2">
      <c r="A151" s="181"/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</row>
    <row r="152" spans="1:24" s="180" customFormat="1" x14ac:dyDescent="0.2">
      <c r="A152" s="181"/>
      <c r="B152" s="181"/>
      <c r="C152" s="181"/>
      <c r="D152" s="181"/>
      <c r="E152" s="154" t="s">
        <v>610</v>
      </c>
      <c r="F152" s="268">
        <f>IF(InpOfwat!F152&lt;&gt;"",InpOfwat!F152,InpCompany!F152)</f>
        <v>42095</v>
      </c>
      <c r="G152" s="154" t="s">
        <v>611</v>
      </c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1"/>
      <c r="U152" s="181"/>
      <c r="V152" s="181"/>
      <c r="W152" s="181"/>
      <c r="X152" s="181"/>
    </row>
    <row r="153" spans="1:24" s="180" customFormat="1" x14ac:dyDescent="0.2">
      <c r="A153" s="181"/>
      <c r="B153" s="181"/>
      <c r="C153" s="181"/>
      <c r="D153" s="181"/>
      <c r="E153" s="154"/>
      <c r="F153" s="154"/>
      <c r="G153" s="154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  <c r="S153" s="181"/>
      <c r="T153" s="181"/>
      <c r="U153" s="181"/>
      <c r="V153" s="181"/>
      <c r="W153" s="181"/>
      <c r="X153" s="181"/>
    </row>
    <row r="154" spans="1:24" s="180" customFormat="1" x14ac:dyDescent="0.2">
      <c r="A154" s="181"/>
      <c r="B154" s="181"/>
      <c r="C154" s="181"/>
      <c r="D154" s="181"/>
      <c r="E154" s="154" t="s">
        <v>630</v>
      </c>
      <c r="F154" s="268">
        <f>IF(InpOfwat!F154&lt;&gt;"",InpOfwat!F154,InpCompany!F154)</f>
        <v>45747</v>
      </c>
      <c r="G154" s="154" t="s">
        <v>611</v>
      </c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T154" s="181"/>
      <c r="U154" s="181"/>
      <c r="V154" s="181"/>
      <c r="W154" s="181"/>
      <c r="X154" s="181"/>
    </row>
    <row r="155" spans="1:24" s="180" customFormat="1" x14ac:dyDescent="0.2">
      <c r="A155" s="181"/>
      <c r="B155" s="181"/>
      <c r="C155" s="181"/>
      <c r="D155" s="181"/>
      <c r="E155" s="154"/>
      <c r="F155" s="154"/>
      <c r="G155" s="154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T155" s="181"/>
      <c r="U155" s="181"/>
      <c r="V155" s="181"/>
      <c r="W155" s="181"/>
      <c r="X155" s="181"/>
    </row>
    <row r="156" spans="1:24" s="180" customFormat="1" x14ac:dyDescent="0.2">
      <c r="A156" s="181"/>
      <c r="B156" s="181"/>
      <c r="C156" s="181"/>
      <c r="D156" s="181"/>
      <c r="E156" s="154" t="s">
        <v>613</v>
      </c>
      <c r="F156" s="268">
        <f>IF(InpOfwat!F156&lt;&gt;"",InpOfwat!F156,InpCompany!F156)</f>
        <v>45747</v>
      </c>
      <c r="G156" s="154" t="s">
        <v>611</v>
      </c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T156" s="181"/>
      <c r="U156" s="181"/>
      <c r="V156" s="181"/>
      <c r="W156" s="181"/>
      <c r="X156" s="181"/>
    </row>
    <row r="157" spans="1:24" s="180" customFormat="1" x14ac:dyDescent="0.2">
      <c r="A157" s="181"/>
      <c r="B157" s="181"/>
      <c r="C157" s="181"/>
      <c r="D157" s="181"/>
      <c r="E157" s="154" t="s">
        <v>614</v>
      </c>
      <c r="F157" s="269">
        <f>IF(InpOfwat!F157&lt;&gt;"",InpOfwat!F157,InpCompany!F157)</f>
        <v>5</v>
      </c>
      <c r="G157" s="154" t="s">
        <v>615</v>
      </c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</row>
    <row r="158" spans="1:24" s="180" customFormat="1" x14ac:dyDescent="0.2">
      <c r="A158" s="181"/>
      <c r="B158" s="181"/>
      <c r="C158" s="181"/>
      <c r="D158" s="181"/>
      <c r="E158" s="154" t="s">
        <v>616</v>
      </c>
      <c r="F158" s="379">
        <f>DATE(YEAR(F156)+F157,MONTH(F156),DAY(F156))</f>
        <v>47573</v>
      </c>
      <c r="G158" s="154" t="s">
        <v>611</v>
      </c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1"/>
      <c r="U158" s="181"/>
      <c r="V158" s="181"/>
      <c r="W158" s="181"/>
      <c r="X158" s="181"/>
    </row>
    <row r="159" spans="1:24" s="180" customFormat="1" x14ac:dyDescent="0.2">
      <c r="A159" s="181"/>
      <c r="B159" s="181"/>
      <c r="C159" s="181"/>
      <c r="D159" s="181"/>
      <c r="E159" s="154"/>
      <c r="F159" s="193"/>
      <c r="G159" s="154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  <c r="S159" s="181"/>
      <c r="T159" s="181"/>
      <c r="U159" s="181"/>
      <c r="V159" s="181"/>
      <c r="W159" s="181"/>
      <c r="X159" s="181"/>
    </row>
    <row r="160" spans="1:24" s="180" customFormat="1" x14ac:dyDescent="0.2">
      <c r="A160" s="181"/>
      <c r="B160" s="181"/>
      <c r="C160" s="181"/>
      <c r="D160" s="181"/>
      <c r="E160" s="154" t="str">
        <f>E158</f>
        <v>Last forecast date</v>
      </c>
      <c r="F160" s="379">
        <f t="shared" ref="F160:G160" si="5">F158</f>
        <v>47573</v>
      </c>
      <c r="G160" s="154" t="str">
        <f t="shared" si="5"/>
        <v>date</v>
      </c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1"/>
      <c r="U160" s="181"/>
      <c r="V160" s="181"/>
      <c r="W160" s="181"/>
      <c r="X160" s="181"/>
    </row>
    <row r="161" spans="1:24" s="180" customFormat="1" x14ac:dyDescent="0.2">
      <c r="A161" s="181"/>
      <c r="B161" s="181"/>
      <c r="C161" s="181"/>
      <c r="D161" s="181"/>
      <c r="E161" s="154" t="s">
        <v>631</v>
      </c>
      <c r="F161" s="269">
        <v>2</v>
      </c>
      <c r="G161" s="154" t="s">
        <v>615</v>
      </c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</row>
    <row r="162" spans="1:24" s="180" customFormat="1" x14ac:dyDescent="0.2">
      <c r="A162" s="181"/>
      <c r="B162" s="181"/>
      <c r="C162" s="181"/>
      <c r="D162" s="181"/>
      <c r="E162" s="154" t="s">
        <v>632</v>
      </c>
      <c r="F162" s="379">
        <f>DATE(YEAR(F158)+F161,MONTH(F158),DAY(F158))</f>
        <v>48304</v>
      </c>
      <c r="G162" s="154" t="s">
        <v>611</v>
      </c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1"/>
      <c r="U162" s="181"/>
      <c r="V162" s="181"/>
      <c r="W162" s="181"/>
      <c r="X162" s="181"/>
    </row>
    <row r="163" spans="1:24" s="180" customFormat="1" x14ac:dyDescent="0.2">
      <c r="A163" s="181"/>
      <c r="B163" s="181"/>
      <c r="C163" s="181"/>
      <c r="D163" s="181"/>
      <c r="E163" s="154"/>
      <c r="F163" s="154"/>
      <c r="G163" s="154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  <c r="S163" s="181"/>
      <c r="T163" s="181"/>
      <c r="U163" s="181"/>
      <c r="V163" s="181"/>
      <c r="W163" s="181"/>
      <c r="X163" s="181"/>
    </row>
    <row r="164" spans="1:24" s="180" customFormat="1" x14ac:dyDescent="0.2">
      <c r="A164" s="181"/>
      <c r="B164" s="181"/>
      <c r="C164" s="181"/>
      <c r="D164" s="181"/>
      <c r="E164" s="154" t="s">
        <v>633</v>
      </c>
      <c r="F164" s="268">
        <f>IF(InpOfwat!F160&lt;&gt;"",InpOfwat!F160,InpCompany!F160)</f>
        <v>46112</v>
      </c>
      <c r="G164" s="154" t="s">
        <v>611</v>
      </c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</row>
    <row r="165" spans="1:24" s="180" customFormat="1" x14ac:dyDescent="0.2">
      <c r="A165" s="181"/>
      <c r="B165" s="181"/>
      <c r="C165" s="181"/>
      <c r="D165" s="181"/>
      <c r="E165" s="154" t="s">
        <v>634</v>
      </c>
      <c r="F165" s="268">
        <f>IF(InpOfwat!F161&lt;&gt;"",InpOfwat!F161,InpCompany!F161)</f>
        <v>47573</v>
      </c>
      <c r="G165" s="154" t="s">
        <v>611</v>
      </c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  <c r="R165" s="181"/>
      <c r="S165" s="181"/>
      <c r="T165" s="181"/>
      <c r="U165" s="181"/>
      <c r="V165" s="181"/>
      <c r="W165" s="181"/>
      <c r="X165" s="181"/>
    </row>
    <row r="166" spans="1:24" s="180" customFormat="1" x14ac:dyDescent="0.2">
      <c r="A166" s="181"/>
      <c r="B166" s="181"/>
      <c r="C166" s="181"/>
      <c r="D166" s="181"/>
      <c r="E166" s="154" t="s">
        <v>635</v>
      </c>
      <c r="F166" s="269">
        <f>IF(InpOfwat!F162&lt;&gt;"",InpOfwat!F162,InpCompany!F162)</f>
        <v>2016</v>
      </c>
      <c r="G166" s="154" t="s">
        <v>620</v>
      </c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  <c r="S166" s="181"/>
      <c r="T166" s="181"/>
      <c r="U166" s="181"/>
      <c r="V166" s="181"/>
    </row>
    <row r="167" spans="1:24" s="180" customFormat="1" x14ac:dyDescent="0.2">
      <c r="A167" s="181"/>
      <c r="B167" s="181"/>
      <c r="C167" s="181"/>
      <c r="D167" s="181"/>
      <c r="E167" s="154" t="s">
        <v>636</v>
      </c>
      <c r="F167" s="269">
        <f>IF(InpOfwat!F163&lt;&gt;"",InpOfwat!F163,InpCompany!F163)</f>
        <v>3</v>
      </c>
      <c r="G167" s="154" t="s">
        <v>622</v>
      </c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  <c r="S167" s="181"/>
      <c r="T167" s="181"/>
      <c r="U167" s="181"/>
      <c r="V167" s="181"/>
    </row>
    <row r="168" spans="1:24" s="180" customFormat="1" x14ac:dyDescent="0.2">
      <c r="A168" s="181"/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  <c r="R168" s="181"/>
      <c r="S168" s="181"/>
      <c r="T168" s="181"/>
      <c r="U168" s="181"/>
      <c r="V168" s="181"/>
    </row>
    <row r="169" spans="1:24" s="402" customFormat="1" ht="13.5" x14ac:dyDescent="0.25">
      <c r="A169" s="208" t="s">
        <v>134</v>
      </c>
      <c r="B169" s="208"/>
      <c r="C169" s="208"/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</row>
    <row r="170" spans="1:24" x14ac:dyDescent="0.2"/>
    <row r="171" spans="1:24" x14ac:dyDescent="0.2"/>
    <row r="172" spans="1:24" x14ac:dyDescent="0.2"/>
    <row r="173" spans="1:24" x14ac:dyDescent="0.2"/>
    <row r="174" spans="1:24" x14ac:dyDescent="0.2"/>
    <row r="175" spans="1:24" x14ac:dyDescent="0.2"/>
    <row r="176" spans="1:24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</sheetData>
  <phoneticPr fontId="74" type="noConversion"/>
  <conditionalFormatting sqref="J3:X3">
    <cfRule type="cellIs" dxfId="71" priority="1" operator="equal">
      <formula>"Post-Fcst"</formula>
    </cfRule>
    <cfRule type="cellIs" dxfId="70" priority="2" operator="equal">
      <formula>"Post-Fcst Mod"</formula>
    </cfRule>
    <cfRule type="cellIs" dxfId="69" priority="3" operator="equal">
      <formula>"Forecast"</formula>
    </cfRule>
    <cfRule type="cellIs" dxfId="68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45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e05205-f2e1-4168-9176-3cea1311c638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2e9523b9-9c37-4c05-b1eb-7b6f416249bb">
      <Terms xmlns="http://schemas.microsoft.com/office/infopath/2007/PartnerControls"/>
    </lcf76f155ced4ddcb4097134ff3c332f>
    <Batch xmlns="2e9523b9-9c37-4c05-b1eb-7b6f416249bb" xsi:nil="true"/>
    <TEST xmlns="2e9523b9-9c37-4c05-b1eb-7b6f416249bb" xsi:nil="true"/>
    <SharedWithUsers xmlns="05c3d349-d7b5-4b99-a759-edf8a89fca83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CA1FEDC0F04146B2629EDF721CF670" ma:contentTypeVersion="23" ma:contentTypeDescription="Create a new document." ma:contentTypeScope="" ma:versionID="b51955f97c6b3ad64a0833e6f2d332df">
  <xsd:schema xmlns:xsd="http://www.w3.org/2001/XMLSchema" xmlns:xs="http://www.w3.org/2001/XMLSchema" xmlns:p="http://schemas.microsoft.com/office/2006/metadata/properties" xmlns:ns1="http://schemas.microsoft.com/sharepoint/v3" xmlns:ns2="2e9523b9-9c37-4c05-b1eb-7b6f416249bb" xmlns:ns3="05c3d349-d7b5-4b99-a759-edf8a89fca83" xmlns:ns4="75e05205-f2e1-4168-9176-3cea1311c638" targetNamespace="http://schemas.microsoft.com/office/2006/metadata/properties" ma:root="true" ma:fieldsID="006d2c111d91b55fc432c3d8d736f2e7" ns1:_="" ns2:_="" ns3:_="" ns4:_="">
    <xsd:import namespace="http://schemas.microsoft.com/sharepoint/v3"/>
    <xsd:import namespace="2e9523b9-9c37-4c05-b1eb-7b6f416249bb"/>
    <xsd:import namespace="05c3d349-d7b5-4b99-a759-edf8a89fca83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TEST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Batch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523b9-9c37-4c05-b1eb-7b6f416249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TEST" ma:index="19" nillable="true" ma:displayName="TEST" ma:format="Dropdown" ma:internalName="TEST">
      <xsd:simpleType>
        <xsd:restriction base="dms:Text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Batch" ma:index="27" nillable="true" ma:displayName="Batch" ma:description="name of adhoc portfolio used to generate the report" ma:format="Dropdown" ma:internalName="Batch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3d349-d7b5-4b99-a759-edf8a89fc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ebdce34-1607-4299-9c29-45a1573d8ca5}" ma:internalName="TaxCatchAll" ma:showField="CatchAllData" ma:web="05c3d349-d7b5-4b99-a759-edf8a89fc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C10C56-6B1E-42B0-935A-8CA7E6C8BCDA}">
  <ds:schemaRefs>
    <ds:schemaRef ds:uri="75e05205-f2e1-4168-9176-3cea1311c638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2e9523b9-9c37-4c05-b1eb-7b6f416249bb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5c3d349-d7b5-4b99-a759-edf8a89fca83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063ACB-CB87-41B6-9AA0-B054D730B2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71037D-FDCC-4F9E-950C-9A4479201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e9523b9-9c37-4c05-b1eb-7b6f416249bb"/>
    <ds:schemaRef ds:uri="05c3d349-d7b5-4b99-a759-edf8a89fca83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Cover</vt:lpstr>
      <vt:lpstr>Style guide</vt:lpstr>
      <vt:lpstr>Validation</vt:lpstr>
      <vt:lpstr>ToC</vt:lpstr>
      <vt:lpstr>F_Inputs</vt:lpstr>
      <vt:lpstr>InpExpected</vt:lpstr>
      <vt:lpstr>InpCompany</vt:lpstr>
      <vt:lpstr>InpOfwat</vt:lpstr>
      <vt:lpstr>InpActive</vt:lpstr>
      <vt:lpstr>Time</vt:lpstr>
      <vt:lpstr>Index</vt:lpstr>
      <vt:lpstr>Abatements and deferrals</vt:lpstr>
      <vt:lpstr>Water resources</vt:lpstr>
      <vt:lpstr>Water network plus</vt:lpstr>
      <vt:lpstr>Wastewater network plus</vt:lpstr>
      <vt:lpstr>Bioresources (sludge)</vt:lpstr>
      <vt:lpstr>Residential retail</vt:lpstr>
      <vt:lpstr>Business retail</vt:lpstr>
      <vt:lpstr>Additional control 1</vt:lpstr>
      <vt:lpstr>Additional control 2</vt:lpstr>
      <vt:lpstr>Outputs</vt:lpstr>
      <vt:lpstr>F_Outputs</vt:lpstr>
      <vt:lpstr>F_Outputs_Co 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2025-05-23T10:54:00Z</dcterms:created>
  <dcterms:modified xsi:type="dcterms:W3CDTF">2025-07-16T12:06:13Z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MediaServiceImageTags">
    <vt:lpwstr/>
  </property>
  <property fmtid="{D5CDD505-2E9C-101B-9397-08002B2CF9AE}" pid="4" name="ContentTypeId">
    <vt:lpwstr>0x01010056CA1FEDC0F04146B2629EDF721CF670</vt:lpwstr>
  </property>
  <property fmtid="{D5CDD505-2E9C-101B-9397-08002B2CF9AE}" pid="5" name="Water Companies">
    <vt:lpwstr/>
  </property>
  <property fmtid="{D5CDD505-2E9C-101B-9397-08002B2CF9AE}" pid="6" name="Document Type">
    <vt:lpwstr/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</Properties>
</file>