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filterPrivacy="1" showInkAnnotation="0"/>
  <xr:revisionPtr revIDLastSave="0" documentId="8_{B268F02F-682C-48CB-A2E6-66CAAD8DF392}" xr6:coauthVersionLast="47" xr6:coauthVersionMax="47" xr10:uidLastSave="{00000000-0000-0000-0000-000000000000}"/>
  <bookViews>
    <workbookView xWindow="-120" yWindow="-120" windowWidth="29040" windowHeight="15720" tabRatio="836" xr2:uid="{00000000-000D-0000-FFFF-FFFF00000000}"/>
  </bookViews>
  <sheets>
    <sheet name="Cover" sheetId="21" r:id="rId1"/>
    <sheet name="ToC" sheetId="27" r:id="rId2"/>
    <sheet name="Model formatting" sheetId="25" r:id="rId3"/>
    <sheet name="Validation" sheetId="20" r:id="rId4"/>
    <sheet name="F_Inputs" sheetId="37" r:id="rId5"/>
    <sheet name="InpOverride" sheetId="29" r:id="rId6"/>
    <sheet name="InpActive" sheetId="31" r:id="rId7"/>
    <sheet name="Inputs" sheetId="11" r:id="rId8"/>
    <sheet name="Index" sheetId="34" r:id="rId9"/>
    <sheet name="Payment rates" sheetId="17" r:id="rId10"/>
    <sheet name="Performance payments" sheetId="18" r:id="rId11"/>
    <sheet name="Outputs" sheetId="19" r:id="rId12"/>
    <sheet name="F_Outputs" sheetId="30" r:id="rId1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ew" hidden="1">{"bal",#N/A,FALSE,"working papers";"income",#N/A,FALSE,"working papers"}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8" i="30" l="1"/>
  <c r="F86" i="30"/>
  <c r="F85" i="30"/>
  <c r="F83" i="30"/>
  <c r="F81" i="30"/>
  <c r="F80" i="30"/>
  <c r="F78" i="30"/>
  <c r="F76" i="30"/>
  <c r="F75" i="30"/>
  <c r="F73" i="30"/>
  <c r="F71" i="30"/>
  <c r="F70" i="30"/>
  <c r="F68" i="30"/>
  <c r="F66" i="30"/>
  <c r="F65" i="30"/>
  <c r="F63" i="30"/>
  <c r="F61" i="30"/>
  <c r="F60" i="30"/>
  <c r="F58" i="30"/>
  <c r="F56" i="30"/>
  <c r="F55" i="30"/>
  <c r="F53" i="30"/>
  <c r="F51" i="30"/>
  <c r="F50" i="30"/>
  <c r="F48" i="30"/>
  <c r="F46" i="30"/>
  <c r="F45" i="30"/>
  <c r="F43" i="30"/>
  <c r="F41" i="30"/>
  <c r="F40" i="30"/>
  <c r="F38" i="30"/>
  <c r="F36" i="30"/>
  <c r="F35" i="30"/>
  <c r="F33" i="30"/>
  <c r="F31" i="30"/>
  <c r="F30" i="30"/>
  <c r="F28" i="30"/>
  <c r="F26" i="30"/>
  <c r="F25" i="30"/>
  <c r="F23" i="30"/>
  <c r="F21" i="30"/>
  <c r="F20" i="30"/>
  <c r="F18" i="30"/>
  <c r="F16" i="30"/>
  <c r="F15" i="30"/>
  <c r="F13" i="30"/>
  <c r="F11" i="30"/>
  <c r="F10" i="30"/>
  <c r="F8" i="30"/>
  <c r="F6" i="30"/>
  <c r="F5" i="30"/>
  <c r="G60" i="19"/>
  <c r="G59" i="19"/>
  <c r="G58" i="19"/>
  <c r="G57" i="19"/>
  <c r="G56" i="19"/>
  <c r="G55" i="19"/>
  <c r="G54" i="19"/>
  <c r="G53" i="19"/>
  <c r="G52" i="19"/>
  <c r="G51" i="19"/>
  <c r="G50" i="19"/>
  <c r="G49" i="19"/>
  <c r="G48" i="19"/>
  <c r="G47" i="19"/>
  <c r="G46" i="19"/>
  <c r="G45" i="19"/>
  <c r="G44" i="19"/>
  <c r="G41" i="19"/>
  <c r="E41" i="19"/>
  <c r="G40" i="19"/>
  <c r="G39" i="19"/>
  <c r="E39" i="19"/>
  <c r="G38" i="19"/>
  <c r="E38" i="19"/>
  <c r="G37" i="19"/>
  <c r="E37" i="19"/>
  <c r="G36" i="19"/>
  <c r="G35" i="19"/>
  <c r="G34" i="19"/>
  <c r="G33" i="19"/>
  <c r="G32" i="19"/>
  <c r="G31" i="19"/>
  <c r="G30" i="19"/>
  <c r="G29" i="19"/>
  <c r="G28" i="19"/>
  <c r="G27" i="19"/>
  <c r="G26" i="19"/>
  <c r="G25" i="19"/>
  <c r="G22" i="19"/>
  <c r="G21" i="19"/>
  <c r="G20" i="19"/>
  <c r="G19" i="19"/>
  <c r="E19" i="19"/>
  <c r="G18" i="19"/>
  <c r="G17" i="19"/>
  <c r="G16" i="19"/>
  <c r="G15" i="19"/>
  <c r="G14" i="19"/>
  <c r="G13" i="19"/>
  <c r="E13" i="19"/>
  <c r="G12" i="19"/>
  <c r="G11" i="19"/>
  <c r="G10" i="19"/>
  <c r="G9" i="19"/>
  <c r="G8" i="19"/>
  <c r="G7" i="19"/>
  <c r="G6" i="19"/>
  <c r="A1" i="19"/>
  <c r="E82" i="18"/>
  <c r="E60" i="19" s="1"/>
  <c r="E81" i="18"/>
  <c r="E59" i="19" s="1"/>
  <c r="E80" i="18"/>
  <c r="E58" i="19" s="1"/>
  <c r="E79" i="18"/>
  <c r="E78" i="18"/>
  <c r="E56" i="19" s="1"/>
  <c r="E77" i="18"/>
  <c r="E55" i="19" s="1"/>
  <c r="E76" i="18"/>
  <c r="E75" i="18"/>
  <c r="E53" i="19" s="1"/>
  <c r="E74" i="18"/>
  <c r="E52" i="19" s="1"/>
  <c r="E73" i="18"/>
  <c r="E72" i="18"/>
  <c r="E50" i="19" s="1"/>
  <c r="E71" i="18"/>
  <c r="E49" i="19" s="1"/>
  <c r="E70" i="18"/>
  <c r="E48" i="19" s="1"/>
  <c r="E69" i="18"/>
  <c r="E47" i="19" s="1"/>
  <c r="E68" i="18"/>
  <c r="E46" i="19" s="1"/>
  <c r="E67" i="18"/>
  <c r="E45" i="19" s="1"/>
  <c r="E66" i="18"/>
  <c r="E44" i="19" s="1"/>
  <c r="E63" i="18"/>
  <c r="E62" i="18"/>
  <c r="E61" i="18"/>
  <c r="E60" i="18"/>
  <c r="E59" i="18"/>
  <c r="E58" i="18"/>
  <c r="E36" i="19" s="1"/>
  <c r="E57" i="18"/>
  <c r="E35" i="19" s="1"/>
  <c r="E56" i="18"/>
  <c r="E55" i="18"/>
  <c r="E33" i="19" s="1"/>
  <c r="E54" i="18"/>
  <c r="E32" i="19" s="1"/>
  <c r="E53" i="18"/>
  <c r="E31" i="19" s="1"/>
  <c r="E52" i="18"/>
  <c r="E30" i="19" s="1"/>
  <c r="E51" i="18"/>
  <c r="E50" i="18"/>
  <c r="E28" i="19" s="1"/>
  <c r="E49" i="18"/>
  <c r="E27" i="19" s="1"/>
  <c r="E48" i="18"/>
  <c r="E26" i="19" s="1"/>
  <c r="E47" i="18"/>
  <c r="E25" i="19" s="1"/>
  <c r="E44" i="18"/>
  <c r="E43" i="18"/>
  <c r="E21" i="19" s="1"/>
  <c r="E42" i="18"/>
  <c r="E41" i="18"/>
  <c r="E40" i="18"/>
  <c r="E18" i="19" s="1"/>
  <c r="E39" i="18"/>
  <c r="E17" i="19" s="1"/>
  <c r="E38" i="18"/>
  <c r="E16" i="19" s="1"/>
  <c r="E37" i="18"/>
  <c r="E15" i="19" s="1"/>
  <c r="E36" i="18"/>
  <c r="E35" i="18"/>
  <c r="E34" i="18"/>
  <c r="E12" i="19" s="1"/>
  <c r="E33" i="18"/>
  <c r="E32" i="18"/>
  <c r="E10" i="19" s="1"/>
  <c r="E31" i="18"/>
  <c r="E9" i="19" s="1"/>
  <c r="E30" i="18"/>
  <c r="E29" i="18"/>
  <c r="E7" i="19" s="1"/>
  <c r="E28" i="18"/>
  <c r="E6" i="19" s="1"/>
  <c r="G22" i="18"/>
  <c r="E22" i="18"/>
  <c r="G21" i="18"/>
  <c r="E21" i="18"/>
  <c r="G17" i="18"/>
  <c r="G16" i="18"/>
  <c r="E16" i="18"/>
  <c r="G15" i="18"/>
  <c r="E15" i="18"/>
  <c r="G10" i="18"/>
  <c r="E10" i="18"/>
  <c r="G9" i="18"/>
  <c r="E9" i="18"/>
  <c r="G8" i="18"/>
  <c r="E8" i="18"/>
  <c r="G6" i="18"/>
  <c r="E6" i="18"/>
  <c r="G5" i="18"/>
  <c r="E5" i="18"/>
  <c r="A1" i="18"/>
  <c r="G119" i="17"/>
  <c r="F119" i="17"/>
  <c r="E119" i="17"/>
  <c r="G118" i="17"/>
  <c r="F118" i="17"/>
  <c r="E118" i="17"/>
  <c r="G117" i="17"/>
  <c r="F117" i="17"/>
  <c r="E117" i="17"/>
  <c r="G109" i="17"/>
  <c r="E109" i="17"/>
  <c r="G105" i="17"/>
  <c r="E105" i="17"/>
  <c r="G100" i="17"/>
  <c r="E100" i="17"/>
  <c r="G99" i="17"/>
  <c r="E99" i="17"/>
  <c r="G98" i="17"/>
  <c r="E98" i="17"/>
  <c r="G94" i="17"/>
  <c r="E94" i="17"/>
  <c r="G90" i="17"/>
  <c r="E90" i="17"/>
  <c r="G89" i="17"/>
  <c r="E89" i="17"/>
  <c r="G88" i="17"/>
  <c r="E88" i="17"/>
  <c r="G87" i="17"/>
  <c r="F87" i="17"/>
  <c r="E87" i="17"/>
  <c r="G86" i="17"/>
  <c r="E86" i="17"/>
  <c r="G82" i="17"/>
  <c r="E82" i="17"/>
  <c r="G73" i="17"/>
  <c r="E73" i="17"/>
  <c r="G69" i="17"/>
  <c r="E69" i="17"/>
  <c r="G68" i="17"/>
  <c r="F68" i="17"/>
  <c r="E68" i="17"/>
  <c r="G66" i="17"/>
  <c r="F66" i="17"/>
  <c r="E66" i="17"/>
  <c r="G62" i="17"/>
  <c r="E62" i="17"/>
  <c r="G61" i="17"/>
  <c r="E61" i="17"/>
  <c r="G60" i="17"/>
  <c r="E60" i="17"/>
  <c r="G56" i="17"/>
  <c r="E56" i="17"/>
  <c r="G52" i="17"/>
  <c r="E52" i="17"/>
  <c r="G51" i="17"/>
  <c r="E51" i="17"/>
  <c r="G48" i="17"/>
  <c r="E48" i="17"/>
  <c r="G47" i="17"/>
  <c r="F47" i="17"/>
  <c r="E47" i="17"/>
  <c r="G44" i="17"/>
  <c r="E44" i="17"/>
  <c r="G43" i="17"/>
  <c r="E43" i="17"/>
  <c r="G40" i="17"/>
  <c r="E40" i="17"/>
  <c r="G36" i="17"/>
  <c r="E36" i="17"/>
  <c r="G35" i="17"/>
  <c r="E35" i="17"/>
  <c r="G32" i="17"/>
  <c r="E32" i="17"/>
  <c r="G31" i="17"/>
  <c r="F31" i="17"/>
  <c r="E31" i="17"/>
  <c r="G28" i="17"/>
  <c r="E28" i="17"/>
  <c r="G27" i="17"/>
  <c r="E27" i="17"/>
  <c r="G24" i="17"/>
  <c r="E24" i="17"/>
  <c r="G19" i="17"/>
  <c r="E19" i="17"/>
  <c r="G6" i="17"/>
  <c r="G93" i="17" s="1"/>
  <c r="E6" i="17"/>
  <c r="E108" i="17" s="1"/>
  <c r="G5" i="17"/>
  <c r="E5" i="17"/>
  <c r="A1" i="17"/>
  <c r="G22" i="34"/>
  <c r="E22" i="34"/>
  <c r="G21" i="34"/>
  <c r="E21" i="34"/>
  <c r="M18" i="34"/>
  <c r="L18" i="34"/>
  <c r="L19" i="34" s="1"/>
  <c r="L21" i="34" s="1"/>
  <c r="S17" i="34"/>
  <c r="S18" i="34" s="1"/>
  <c r="S19" i="34" s="1"/>
  <c r="S21" i="34" s="1"/>
  <c r="R17" i="34"/>
  <c r="R18" i="34" s="1"/>
  <c r="R19" i="34" s="1"/>
  <c r="R21" i="34" s="1"/>
  <c r="Q17" i="34"/>
  <c r="Q18" i="34" s="1"/>
  <c r="P17" i="34"/>
  <c r="P18" i="34" s="1"/>
  <c r="O17" i="34"/>
  <c r="O18" i="34" s="1"/>
  <c r="N17" i="34"/>
  <c r="N18" i="34" s="1"/>
  <c r="M17" i="34"/>
  <c r="L17" i="34"/>
  <c r="K17" i="34"/>
  <c r="K18" i="34" s="1"/>
  <c r="J17" i="34"/>
  <c r="J18" i="34" s="1"/>
  <c r="F16" i="34"/>
  <c r="A1" i="34"/>
  <c r="Z100" i="11"/>
  <c r="Z82" i="17" s="1"/>
  <c r="O100" i="11"/>
  <c r="O82" i="17" s="1"/>
  <c r="Z97" i="11"/>
  <c r="Z5" i="17" s="1"/>
  <c r="Y97" i="11"/>
  <c r="Y5" i="18" s="1"/>
  <c r="X97" i="11"/>
  <c r="X100" i="11" s="1"/>
  <c r="X82" i="17" s="1"/>
  <c r="W97" i="11"/>
  <c r="W5" i="17" s="1"/>
  <c r="V97" i="11"/>
  <c r="V99" i="11" s="1"/>
  <c r="V73" i="17" s="1"/>
  <c r="U97" i="11"/>
  <c r="U5" i="18" s="1"/>
  <c r="T97" i="11"/>
  <c r="T5" i="17" s="1"/>
  <c r="S97" i="11"/>
  <c r="R97" i="11"/>
  <c r="Q97" i="11"/>
  <c r="P97" i="11"/>
  <c r="O97" i="11"/>
  <c r="O5" i="18" s="1"/>
  <c r="N97" i="11"/>
  <c r="N5" i="17" s="1"/>
  <c r="M97" i="11"/>
  <c r="M5" i="17" s="1"/>
  <c r="L97" i="11"/>
  <c r="L100" i="11" s="1"/>
  <c r="L82" i="17" s="1"/>
  <c r="K97" i="11"/>
  <c r="K5" i="18" s="1"/>
  <c r="J97" i="11"/>
  <c r="J5" i="17" s="1"/>
  <c r="F82" i="11"/>
  <c r="F45" i="11"/>
  <c r="F33" i="11"/>
  <c r="F1" i="11"/>
  <c r="F1" i="17" s="1"/>
  <c r="A1" i="11"/>
  <c r="F156" i="31"/>
  <c r="F93" i="11" s="1"/>
  <c r="Z101" i="11" s="1"/>
  <c r="Z8" i="18" s="1"/>
  <c r="F155" i="31"/>
  <c r="F154" i="31"/>
  <c r="F153" i="31"/>
  <c r="F152" i="31"/>
  <c r="F151" i="31"/>
  <c r="F150" i="31"/>
  <c r="F23" i="11" s="1"/>
  <c r="Z98" i="11" s="1"/>
  <c r="F149" i="31"/>
  <c r="F148" i="31"/>
  <c r="F147" i="31"/>
  <c r="F92" i="11" s="1"/>
  <c r="Y101" i="11" s="1"/>
  <c r="Y8" i="18" s="1"/>
  <c r="F146" i="31"/>
  <c r="F145" i="31"/>
  <c r="F44" i="11" s="1"/>
  <c r="Y99" i="11" s="1"/>
  <c r="Y73" i="17" s="1"/>
  <c r="F144" i="31"/>
  <c r="F143" i="31"/>
  <c r="F142" i="31"/>
  <c r="F141" i="31"/>
  <c r="F22" i="11" s="1"/>
  <c r="F140" i="31"/>
  <c r="F139" i="31"/>
  <c r="F138" i="31"/>
  <c r="F91" i="11" s="1"/>
  <c r="X101" i="11" s="1"/>
  <c r="X8" i="18" s="1"/>
  <c r="F137" i="31"/>
  <c r="F136" i="31"/>
  <c r="F43" i="11" s="1"/>
  <c r="X99" i="11" s="1"/>
  <c r="X73" i="17" s="1"/>
  <c r="F135" i="31"/>
  <c r="F134" i="31"/>
  <c r="F133" i="31"/>
  <c r="F132" i="31"/>
  <c r="F21" i="11" s="1"/>
  <c r="F131" i="31"/>
  <c r="F130" i="31"/>
  <c r="F129" i="31"/>
  <c r="F90" i="11" s="1"/>
  <c r="F128" i="31"/>
  <c r="F127" i="31"/>
  <c r="F42" i="11" s="1"/>
  <c r="F126" i="31"/>
  <c r="F125" i="31"/>
  <c r="F124" i="31"/>
  <c r="F123" i="31"/>
  <c r="F20" i="11" s="1"/>
  <c r="F122" i="31"/>
  <c r="F121" i="31"/>
  <c r="F120" i="31"/>
  <c r="F89" i="11" s="1"/>
  <c r="F119" i="31"/>
  <c r="F118" i="31"/>
  <c r="F41" i="11" s="1"/>
  <c r="F117" i="31"/>
  <c r="F116" i="31"/>
  <c r="F115" i="31"/>
  <c r="F114" i="31"/>
  <c r="F19" i="11" s="1"/>
  <c r="F113" i="31"/>
  <c r="F112" i="31"/>
  <c r="F111" i="31"/>
  <c r="F88" i="11" s="1"/>
  <c r="F110" i="31"/>
  <c r="F109" i="31"/>
  <c r="F40" i="11" s="1"/>
  <c r="F108" i="31"/>
  <c r="F107" i="31"/>
  <c r="F106" i="31"/>
  <c r="F105" i="31"/>
  <c r="F18" i="11" s="1"/>
  <c r="F104" i="31"/>
  <c r="F103" i="31"/>
  <c r="F102" i="31"/>
  <c r="F87" i="11" s="1"/>
  <c r="F101" i="31"/>
  <c r="F100" i="31"/>
  <c r="F39" i="11" s="1"/>
  <c r="F99" i="31"/>
  <c r="F98" i="31"/>
  <c r="F97" i="31"/>
  <c r="F96" i="31"/>
  <c r="F17" i="11" s="1"/>
  <c r="F95" i="31"/>
  <c r="F94" i="31"/>
  <c r="F93" i="31"/>
  <c r="F86" i="11" s="1"/>
  <c r="F92" i="31"/>
  <c r="F91" i="31"/>
  <c r="F38" i="11" s="1"/>
  <c r="F90" i="31"/>
  <c r="F89" i="31"/>
  <c r="F88" i="31"/>
  <c r="F87" i="31"/>
  <c r="F16" i="11" s="1"/>
  <c r="F86" i="31"/>
  <c r="F85" i="31"/>
  <c r="F84" i="31"/>
  <c r="F85" i="11" s="1"/>
  <c r="F83" i="31"/>
  <c r="F82" i="31"/>
  <c r="F37" i="11" s="1"/>
  <c r="F81" i="31"/>
  <c r="F80" i="31"/>
  <c r="F79" i="31"/>
  <c r="F78" i="31"/>
  <c r="F15" i="11" s="1"/>
  <c r="F77" i="31"/>
  <c r="F76" i="31"/>
  <c r="F75" i="31"/>
  <c r="F84" i="11" s="1"/>
  <c r="F74" i="31"/>
  <c r="F73" i="31"/>
  <c r="F36" i="11" s="1"/>
  <c r="F72" i="31"/>
  <c r="F71" i="31"/>
  <c r="F70" i="31"/>
  <c r="F69" i="31"/>
  <c r="F14" i="11" s="1"/>
  <c r="F68" i="31"/>
  <c r="F67" i="31"/>
  <c r="F66" i="31"/>
  <c r="F83" i="11" s="1"/>
  <c r="F65" i="31"/>
  <c r="F64" i="31"/>
  <c r="F35" i="11" s="1"/>
  <c r="P99" i="11" s="1"/>
  <c r="P73" i="17" s="1"/>
  <c r="F63" i="31"/>
  <c r="F62" i="31"/>
  <c r="F61" i="31"/>
  <c r="F60" i="31"/>
  <c r="F13" i="11" s="1"/>
  <c r="F59" i="31"/>
  <c r="F58" i="31"/>
  <c r="F57" i="31"/>
  <c r="F56" i="31"/>
  <c r="F55" i="31"/>
  <c r="F34" i="11" s="1"/>
  <c r="F54" i="31"/>
  <c r="F53" i="31"/>
  <c r="F52" i="31"/>
  <c r="F51" i="31"/>
  <c r="F12" i="11" s="1"/>
  <c r="F50" i="31"/>
  <c r="F49" i="31"/>
  <c r="F48" i="31"/>
  <c r="F81" i="11" s="1"/>
  <c r="F47" i="31"/>
  <c r="F46" i="31"/>
  <c r="F45" i="31"/>
  <c r="F44" i="31"/>
  <c r="F43" i="31"/>
  <c r="F42" i="31"/>
  <c r="F11" i="11" s="1"/>
  <c r="N98" i="11" s="1"/>
  <c r="F41" i="31"/>
  <c r="F40" i="31"/>
  <c r="F39" i="31"/>
  <c r="F80" i="11" s="1"/>
  <c r="M101" i="11" s="1"/>
  <c r="M8" i="18" s="1"/>
  <c r="F38" i="31"/>
  <c r="F37" i="31"/>
  <c r="F32" i="11" s="1"/>
  <c r="M99" i="11" s="1"/>
  <c r="M73" i="17" s="1"/>
  <c r="F36" i="31"/>
  <c r="F35" i="31"/>
  <c r="F34" i="31"/>
  <c r="F33" i="31"/>
  <c r="F10" i="11" s="1"/>
  <c r="F32" i="31"/>
  <c r="F31" i="31"/>
  <c r="F30" i="31"/>
  <c r="F79" i="11" s="1"/>
  <c r="F29" i="31"/>
  <c r="F28" i="31"/>
  <c r="F31" i="11" s="1"/>
  <c r="L99" i="11" s="1"/>
  <c r="L73" i="17" s="1"/>
  <c r="F27" i="31"/>
  <c r="F26" i="31"/>
  <c r="F25" i="31"/>
  <c r="F24" i="31"/>
  <c r="F9" i="11" s="1"/>
  <c r="F23" i="31"/>
  <c r="F22" i="31"/>
  <c r="F21" i="31"/>
  <c r="F78" i="11" s="1"/>
  <c r="F20" i="31"/>
  <c r="F19" i="31"/>
  <c r="F30" i="11" s="1"/>
  <c r="F18" i="31"/>
  <c r="F17" i="31"/>
  <c r="F16" i="31"/>
  <c r="F15" i="31"/>
  <c r="F8" i="11" s="1"/>
  <c r="K98" i="11" s="1"/>
  <c r="F14" i="31"/>
  <c r="F13" i="31"/>
  <c r="F12" i="31"/>
  <c r="F77" i="11" s="1"/>
  <c r="F11" i="31"/>
  <c r="F10" i="31"/>
  <c r="F29" i="11" s="1"/>
  <c r="F9" i="31"/>
  <c r="F8" i="31"/>
  <c r="F7" i="31"/>
  <c r="F6" i="31"/>
  <c r="F7" i="11" s="1"/>
  <c r="F5" i="31"/>
  <c r="F4" i="31"/>
  <c r="F2" i="31"/>
  <c r="A1" i="31"/>
  <c r="F2" i="29"/>
  <c r="A1" i="29"/>
  <c r="A1" i="20"/>
  <c r="A1" i="25"/>
  <c r="A1" i="27"/>
  <c r="A1" i="21"/>
  <c r="E12" i="17" l="1"/>
  <c r="J19" i="34"/>
  <c r="J21" i="34" s="1"/>
  <c r="E18" i="17"/>
  <c r="N19" i="34"/>
  <c r="N21" i="34" s="1"/>
  <c r="L5" i="18"/>
  <c r="Y98" i="11"/>
  <c r="Y6" i="17" s="1"/>
  <c r="Y18" i="17" s="1"/>
  <c r="O19" i="34"/>
  <c r="O21" i="34" s="1"/>
  <c r="M5" i="18"/>
  <c r="M100" i="11"/>
  <c r="M82" i="17" s="1"/>
  <c r="P19" i="34"/>
  <c r="P21" i="34" s="1"/>
  <c r="N5" i="18"/>
  <c r="P98" i="11"/>
  <c r="N100" i="11"/>
  <c r="N82" i="17" s="1"/>
  <c r="Q19" i="34"/>
  <c r="Q21" i="34" s="1"/>
  <c r="J101" i="11"/>
  <c r="J8" i="18" s="1"/>
  <c r="L5" i="17"/>
  <c r="G18" i="17"/>
  <c r="X5" i="18"/>
  <c r="V5" i="17"/>
  <c r="X98" i="11"/>
  <c r="X6" i="18" s="1"/>
  <c r="J99" i="11"/>
  <c r="J73" i="17" s="1"/>
  <c r="V101" i="11"/>
  <c r="V8" i="18" s="1"/>
  <c r="X5" i="17"/>
  <c r="G108" i="17"/>
  <c r="K99" i="11"/>
  <c r="K73" i="17" s="1"/>
  <c r="W101" i="11"/>
  <c r="W8" i="18" s="1"/>
  <c r="Y5" i="17"/>
  <c r="E93" i="17"/>
  <c r="L98" i="11"/>
  <c r="L6" i="18" s="1"/>
  <c r="K101" i="11"/>
  <c r="K8" i="18" s="1"/>
  <c r="K5" i="17"/>
  <c r="M98" i="11"/>
  <c r="M6" i="18" s="1"/>
  <c r="Y100" i="11"/>
  <c r="Y82" i="17" s="1"/>
  <c r="W5" i="18"/>
  <c r="L101" i="11"/>
  <c r="L8" i="18" s="1"/>
  <c r="O98" i="11"/>
  <c r="O6" i="18" s="1"/>
  <c r="N101" i="11"/>
  <c r="N8" i="18" s="1"/>
  <c r="O101" i="11"/>
  <c r="O8" i="18" s="1"/>
  <c r="Z5" i="18"/>
  <c r="K100" i="11"/>
  <c r="K82" i="17" s="1"/>
  <c r="G12" i="17"/>
  <c r="K6" i="18"/>
  <c r="K6" i="17"/>
  <c r="L6" i="17"/>
  <c r="N6" i="18"/>
  <c r="N6" i="17"/>
  <c r="Z6" i="17"/>
  <c r="Z6" i="18"/>
  <c r="S5" i="18"/>
  <c r="S98" i="11"/>
  <c r="S99" i="11"/>
  <c r="S73" i="17" s="1"/>
  <c r="S5" i="17"/>
  <c r="S101" i="11"/>
  <c r="S8" i="18" s="1"/>
  <c r="S100" i="11"/>
  <c r="S82" i="17" s="1"/>
  <c r="E11" i="19"/>
  <c r="E20" i="19"/>
  <c r="E57" i="19"/>
  <c r="F1" i="19"/>
  <c r="F2" i="30" s="1"/>
  <c r="F1" i="18"/>
  <c r="F8" i="34"/>
  <c r="F9" i="34" s="1"/>
  <c r="F22" i="34" s="1"/>
  <c r="F1" i="34"/>
  <c r="Q101" i="11"/>
  <c r="Q8" i="18" s="1"/>
  <c r="Q5" i="18"/>
  <c r="Q99" i="11"/>
  <c r="Q73" i="17" s="1"/>
  <c r="Q5" i="17"/>
  <c r="Q100" i="11"/>
  <c r="Q82" i="17" s="1"/>
  <c r="Q98" i="11"/>
  <c r="T5" i="18"/>
  <c r="T98" i="11"/>
  <c r="T101" i="11"/>
  <c r="T8" i="18" s="1"/>
  <c r="T100" i="11"/>
  <c r="T82" i="17" s="1"/>
  <c r="T99" i="11"/>
  <c r="T73" i="17" s="1"/>
  <c r="P6" i="18"/>
  <c r="P6" i="17"/>
  <c r="E29" i="19"/>
  <c r="U100" i="11"/>
  <c r="U82" i="17" s="1"/>
  <c r="U101" i="11"/>
  <c r="U8" i="18" s="1"/>
  <c r="U99" i="11"/>
  <c r="U73" i="17" s="1"/>
  <c r="U98" i="11"/>
  <c r="O6" i="17"/>
  <c r="P5" i="17"/>
  <c r="P101" i="11"/>
  <c r="P8" i="18" s="1"/>
  <c r="P5" i="18"/>
  <c r="P100" i="11"/>
  <c r="P82" i="17" s="1"/>
  <c r="U5" i="17"/>
  <c r="R5" i="18"/>
  <c r="R101" i="11"/>
  <c r="R8" i="18" s="1"/>
  <c r="R99" i="11"/>
  <c r="R73" i="17" s="1"/>
  <c r="R98" i="11"/>
  <c r="R5" i="17"/>
  <c r="R100" i="11"/>
  <c r="R82" i="17" s="1"/>
  <c r="E14" i="19"/>
  <c r="E51" i="19"/>
  <c r="M19" i="34"/>
  <c r="M21" i="34" s="1"/>
  <c r="N99" i="11"/>
  <c r="N73" i="17" s="1"/>
  <c r="Z99" i="11"/>
  <c r="Z73" i="17" s="1"/>
  <c r="E8" i="19"/>
  <c r="E40" i="19"/>
  <c r="J5" i="18"/>
  <c r="J100" i="11"/>
  <c r="J82" i="17" s="1"/>
  <c r="V5" i="18"/>
  <c r="V100" i="11"/>
  <c r="V82" i="17" s="1"/>
  <c r="V98" i="11"/>
  <c r="K19" i="34"/>
  <c r="K21" i="34" s="1"/>
  <c r="W98" i="11"/>
  <c r="E34" i="19"/>
  <c r="O99" i="11"/>
  <c r="O73" i="17" s="1"/>
  <c r="O5" i="17"/>
  <c r="J98" i="11"/>
  <c r="W99" i="11"/>
  <c r="W73" i="17" s="1"/>
  <c r="W100" i="11"/>
  <c r="W82" i="17" s="1"/>
  <c r="E22" i="19"/>
  <c r="E78" i="17"/>
  <c r="G78" i="17"/>
  <c r="E54" i="19"/>
  <c r="Y93" i="17" l="1"/>
  <c r="Y12" i="17"/>
  <c r="Y78" i="17"/>
  <c r="Y108" i="17"/>
  <c r="F83" i="17"/>
  <c r="F88" i="17" s="1"/>
  <c r="Y6" i="18"/>
  <c r="M6" i="17"/>
  <c r="M108" i="17" s="1"/>
  <c r="X6" i="17"/>
  <c r="X12" i="17" s="1"/>
  <c r="P12" i="17"/>
  <c r="P108" i="17"/>
  <c r="P18" i="17"/>
  <c r="P93" i="17"/>
  <c r="P78" i="17"/>
  <c r="S6" i="18"/>
  <c r="S6" i="17"/>
  <c r="M78" i="17"/>
  <c r="M12" i="17"/>
  <c r="E23" i="34"/>
  <c r="E17" i="18" s="1"/>
  <c r="F23" i="34"/>
  <c r="F17" i="18" s="1"/>
  <c r="W6" i="17"/>
  <c r="W6" i="18"/>
  <c r="T6" i="17"/>
  <c r="T6" i="18"/>
  <c r="V6" i="17"/>
  <c r="V6" i="18"/>
  <c r="X18" i="17"/>
  <c r="X78" i="17"/>
  <c r="L108" i="17"/>
  <c r="L12" i="17"/>
  <c r="L93" i="17"/>
  <c r="L78" i="17"/>
  <c r="L18" i="17"/>
  <c r="Z108" i="17"/>
  <c r="Z18" i="17"/>
  <c r="Z93" i="17"/>
  <c r="Z78" i="17"/>
  <c r="Z12" i="17"/>
  <c r="R6" i="18"/>
  <c r="R6" i="17"/>
  <c r="F84" i="17"/>
  <c r="F89" i="17" s="1"/>
  <c r="Q6" i="18"/>
  <c r="Q6" i="17"/>
  <c r="K12" i="17"/>
  <c r="K108" i="17"/>
  <c r="K78" i="17"/>
  <c r="K93" i="17"/>
  <c r="K18" i="17"/>
  <c r="F74" i="17"/>
  <c r="Z75" i="17" s="1"/>
  <c r="Z99" i="17" s="1"/>
  <c r="U6" i="17"/>
  <c r="U6" i="18"/>
  <c r="J6" i="18"/>
  <c r="J6" i="17"/>
  <c r="O93" i="17"/>
  <c r="O78" i="17"/>
  <c r="O18" i="17"/>
  <c r="O108" i="17"/>
  <c r="O12" i="17"/>
  <c r="N18" i="17"/>
  <c r="N93" i="17"/>
  <c r="N108" i="17"/>
  <c r="N78" i="17"/>
  <c r="N12" i="17"/>
  <c r="X93" i="17" l="1"/>
  <c r="X108" i="17"/>
  <c r="M18" i="17"/>
  <c r="M93" i="17"/>
  <c r="U75" i="17"/>
  <c r="U99" i="17" s="1"/>
  <c r="W75" i="17"/>
  <c r="W99" i="17" s="1"/>
  <c r="N75" i="17"/>
  <c r="N99" i="17" s="1"/>
  <c r="M7" i="17"/>
  <c r="M69" i="17" s="1"/>
  <c r="M70" i="17" s="1"/>
  <c r="M98" i="17" s="1"/>
  <c r="R75" i="17"/>
  <c r="R99" i="17" s="1"/>
  <c r="T108" i="17"/>
  <c r="T78" i="17"/>
  <c r="T18" i="17"/>
  <c r="T12" i="17"/>
  <c r="T93" i="17"/>
  <c r="T7" i="17"/>
  <c r="T69" i="17" s="1"/>
  <c r="T70" i="17" s="1"/>
  <c r="T98" i="17" s="1"/>
  <c r="R78" i="17"/>
  <c r="R18" i="17"/>
  <c r="R108" i="17"/>
  <c r="R12" i="17"/>
  <c r="R93" i="17"/>
  <c r="R7" i="17"/>
  <c r="R69" i="17" s="1"/>
  <c r="R70" i="17" s="1"/>
  <c r="R98" i="17" s="1"/>
  <c r="X7" i="17"/>
  <c r="X69" i="17" s="1"/>
  <c r="X70" i="17" s="1"/>
  <c r="X98" i="17" s="1"/>
  <c r="U93" i="17"/>
  <c r="U78" i="17"/>
  <c r="U12" i="17"/>
  <c r="U18" i="17"/>
  <c r="U108" i="17"/>
  <c r="U7" i="17"/>
  <c r="U69" i="17" s="1"/>
  <c r="U70" i="17" s="1"/>
  <c r="U98" i="17" s="1"/>
  <c r="N7" i="17"/>
  <c r="N69" i="17" s="1"/>
  <c r="N70" i="17" s="1"/>
  <c r="N98" i="17" s="1"/>
  <c r="O75" i="17"/>
  <c r="O99" i="17" s="1"/>
  <c r="S78" i="17"/>
  <c r="S108" i="17"/>
  <c r="S18" i="17"/>
  <c r="S12" i="17"/>
  <c r="S93" i="17"/>
  <c r="S7" i="17"/>
  <c r="S69" i="17" s="1"/>
  <c r="S70" i="17" s="1"/>
  <c r="S98" i="17" s="1"/>
  <c r="W7" i="17"/>
  <c r="W69" i="17" s="1"/>
  <c r="W70" i="17" s="1"/>
  <c r="W98" i="17" s="1"/>
  <c r="W12" i="17"/>
  <c r="W93" i="17"/>
  <c r="W78" i="17"/>
  <c r="W108" i="17"/>
  <c r="W18" i="17"/>
  <c r="J12" i="17"/>
  <c r="J93" i="17"/>
  <c r="J78" i="17"/>
  <c r="J108" i="17"/>
  <c r="J7" i="17"/>
  <c r="J69" i="17" s="1"/>
  <c r="J70" i="17" s="1"/>
  <c r="J98" i="17" s="1"/>
  <c r="J18" i="17"/>
  <c r="Y7" i="17"/>
  <c r="Y69" i="17" s="1"/>
  <c r="Y70" i="17" s="1"/>
  <c r="Y98" i="17" s="1"/>
  <c r="L7" i="17"/>
  <c r="L69" i="17" s="1"/>
  <c r="L70" i="17" s="1"/>
  <c r="L98" i="17" s="1"/>
  <c r="V78" i="17"/>
  <c r="V18" i="17"/>
  <c r="V7" i="17"/>
  <c r="V69" i="17" s="1"/>
  <c r="V70" i="17" s="1"/>
  <c r="V98" i="17" s="1"/>
  <c r="V93" i="17"/>
  <c r="V12" i="17"/>
  <c r="V108" i="17"/>
  <c r="P7" i="17"/>
  <c r="P69" i="17" s="1"/>
  <c r="P70" i="17" s="1"/>
  <c r="P98" i="17" s="1"/>
  <c r="V75" i="17"/>
  <c r="V99" i="17" s="1"/>
  <c r="P75" i="17"/>
  <c r="P99" i="17" s="1"/>
  <c r="M75" i="17"/>
  <c r="M99" i="17" s="1"/>
  <c r="L75" i="17"/>
  <c r="L99" i="17" s="1"/>
  <c r="Y75" i="17"/>
  <c r="Y99" i="17" s="1"/>
  <c r="J75" i="17"/>
  <c r="J99" i="17" s="1"/>
  <c r="X75" i="17"/>
  <c r="X99" i="17" s="1"/>
  <c r="K75" i="17"/>
  <c r="K99" i="17" s="1"/>
  <c r="K7" i="17"/>
  <c r="K69" i="17" s="1"/>
  <c r="K70" i="17" s="1"/>
  <c r="K98" i="17" s="1"/>
  <c r="Z7" i="17"/>
  <c r="Z69" i="17" s="1"/>
  <c r="Z70" i="17" s="1"/>
  <c r="Z98" i="17" s="1"/>
  <c r="O7" i="17"/>
  <c r="O69" i="17" s="1"/>
  <c r="O70" i="17" s="1"/>
  <c r="O98" i="17" s="1"/>
  <c r="S75" i="17"/>
  <c r="S99" i="17" s="1"/>
  <c r="Q75" i="17"/>
  <c r="Q99" i="17" s="1"/>
  <c r="Q18" i="17"/>
  <c r="Q7" i="17"/>
  <c r="Q69" i="17" s="1"/>
  <c r="Q70" i="17" s="1"/>
  <c r="Q98" i="17" s="1"/>
  <c r="Q108" i="17"/>
  <c r="Q12" i="17"/>
  <c r="Q93" i="17"/>
  <c r="Q78" i="17"/>
  <c r="T75" i="17"/>
  <c r="T99" i="17" s="1"/>
  <c r="F79" i="17" l="1"/>
  <c r="F86" i="17" s="1"/>
  <c r="F80" i="17"/>
  <c r="F90" i="17" s="1"/>
  <c r="F14" i="17"/>
  <c r="F13" i="17"/>
  <c r="F15" i="17"/>
  <c r="F27" i="17" s="1"/>
  <c r="F16" i="17"/>
  <c r="F43" i="17" s="1"/>
  <c r="F91" i="17" l="1"/>
  <c r="F94" i="17" s="1"/>
  <c r="F44" i="17"/>
  <c r="F28" i="17"/>
  <c r="F29" i="17" s="1"/>
  <c r="F32" i="17" s="1"/>
  <c r="F33" i="17" s="1"/>
  <c r="F36" i="17" s="1"/>
  <c r="F19" i="17"/>
  <c r="F45" i="17"/>
  <c r="F48" i="17" s="1"/>
  <c r="F49" i="17" s="1"/>
  <c r="F52" i="17" s="1"/>
  <c r="Y20" i="17" l="1"/>
  <c r="M20" i="17"/>
  <c r="Z20" i="17"/>
  <c r="O20" i="17"/>
  <c r="P20" i="17"/>
  <c r="X20" i="17"/>
  <c r="L20" i="17"/>
  <c r="N20" i="17"/>
  <c r="K20" i="17"/>
  <c r="R20" i="17"/>
  <c r="Q20" i="17"/>
  <c r="T20" i="17"/>
  <c r="J20" i="17"/>
  <c r="W20" i="17"/>
  <c r="S20" i="17"/>
  <c r="V20" i="17"/>
  <c r="U20" i="17"/>
  <c r="Y95" i="17"/>
  <c r="Y100" i="17" s="1"/>
  <c r="Y101" i="17" s="1"/>
  <c r="L95" i="17"/>
  <c r="L100" i="17" s="1"/>
  <c r="L101" i="17" s="1"/>
  <c r="N95" i="17"/>
  <c r="N100" i="17" s="1"/>
  <c r="N101" i="17" s="1"/>
  <c r="Z95" i="17"/>
  <c r="Z100" i="17" s="1"/>
  <c r="Z101" i="17" s="1"/>
  <c r="M95" i="17"/>
  <c r="M100" i="17" s="1"/>
  <c r="M101" i="17" s="1"/>
  <c r="P95" i="17"/>
  <c r="P100" i="17" s="1"/>
  <c r="P101" i="17" s="1"/>
  <c r="X95" i="17"/>
  <c r="X100" i="17" s="1"/>
  <c r="X101" i="17" s="1"/>
  <c r="O95" i="17"/>
  <c r="O100" i="17" s="1"/>
  <c r="O101" i="17" s="1"/>
  <c r="K95" i="17"/>
  <c r="K100" i="17" s="1"/>
  <c r="K101" i="17" s="1"/>
  <c r="T95" i="17"/>
  <c r="T100" i="17" s="1"/>
  <c r="T101" i="17" s="1"/>
  <c r="W95" i="17"/>
  <c r="W100" i="17" s="1"/>
  <c r="W101" i="17" s="1"/>
  <c r="J95" i="17"/>
  <c r="J100" i="17" s="1"/>
  <c r="J101" i="17" s="1"/>
  <c r="S95" i="17"/>
  <c r="S100" i="17" s="1"/>
  <c r="S101" i="17" s="1"/>
  <c r="V95" i="17"/>
  <c r="V100" i="17" s="1"/>
  <c r="V101" i="17" s="1"/>
  <c r="Q95" i="17"/>
  <c r="Q100" i="17" s="1"/>
  <c r="Q101" i="17" s="1"/>
  <c r="U95" i="17"/>
  <c r="U100" i="17" s="1"/>
  <c r="U101" i="17" s="1"/>
  <c r="R95" i="17"/>
  <c r="R100" i="17" s="1"/>
  <c r="R101" i="17" s="1"/>
  <c r="P105" i="17" l="1"/>
  <c r="P109" i="17"/>
  <c r="P110" i="17" s="1"/>
  <c r="R109" i="17"/>
  <c r="R110" i="17" s="1"/>
  <c r="R105" i="17"/>
  <c r="R56" i="17"/>
  <c r="R57" i="17" s="1"/>
  <c r="R62" i="17" s="1"/>
  <c r="R40" i="17"/>
  <c r="R41" i="17" s="1"/>
  <c r="R51" i="17" s="1"/>
  <c r="R53" i="17" s="1"/>
  <c r="R61" i="17" s="1"/>
  <c r="R24" i="17"/>
  <c r="R25" i="17" s="1"/>
  <c r="R35" i="17" s="1"/>
  <c r="R37" i="17" s="1"/>
  <c r="R60" i="17" s="1"/>
  <c r="R63" i="17" s="1"/>
  <c r="R9" i="18" s="1"/>
  <c r="R11" i="18" s="1"/>
  <c r="R15" i="18" s="1"/>
  <c r="R18" i="18" s="1"/>
  <c r="R21" i="18" s="1"/>
  <c r="U109" i="17"/>
  <c r="U110" i="17" s="1"/>
  <c r="U105" i="17"/>
  <c r="K24" i="17"/>
  <c r="K25" i="17" s="1"/>
  <c r="K35" i="17" s="1"/>
  <c r="K37" i="17" s="1"/>
  <c r="K60" i="17" s="1"/>
  <c r="K56" i="17"/>
  <c r="K57" i="17" s="1"/>
  <c r="K62" i="17" s="1"/>
  <c r="K40" i="17"/>
  <c r="K41" i="17" s="1"/>
  <c r="K51" i="17" s="1"/>
  <c r="K53" i="17" s="1"/>
  <c r="K61" i="17" s="1"/>
  <c r="N105" i="17"/>
  <c r="N109" i="17"/>
  <c r="N110" i="17" s="1"/>
  <c r="L105" i="17"/>
  <c r="L109" i="17"/>
  <c r="L110" i="17" s="1"/>
  <c r="S109" i="17"/>
  <c r="S110" i="17" s="1"/>
  <c r="S105" i="17"/>
  <c r="X24" i="17"/>
  <c r="X25" i="17" s="1"/>
  <c r="X35" i="17" s="1"/>
  <c r="X37" i="17" s="1"/>
  <c r="X60" i="17" s="1"/>
  <c r="X56" i="17"/>
  <c r="X57" i="17" s="1"/>
  <c r="X62" i="17" s="1"/>
  <c r="X40" i="17"/>
  <c r="X41" i="17" s="1"/>
  <c r="X51" i="17" s="1"/>
  <c r="X53" i="17" s="1"/>
  <c r="X61" i="17" s="1"/>
  <c r="P56" i="17"/>
  <c r="P57" i="17" s="1"/>
  <c r="P62" i="17" s="1"/>
  <c r="P24" i="17"/>
  <c r="P25" i="17" s="1"/>
  <c r="P35" i="17" s="1"/>
  <c r="P37" i="17" s="1"/>
  <c r="P60" i="17" s="1"/>
  <c r="P40" i="17"/>
  <c r="P41" i="17" s="1"/>
  <c r="P51" i="17" s="1"/>
  <c r="P53" i="17" s="1"/>
  <c r="P61" i="17" s="1"/>
  <c r="V56" i="17"/>
  <c r="V57" i="17" s="1"/>
  <c r="V62" i="17" s="1"/>
  <c r="V40" i="17"/>
  <c r="V41" i="17" s="1"/>
  <c r="V51" i="17" s="1"/>
  <c r="V53" i="17" s="1"/>
  <c r="V61" i="17" s="1"/>
  <c r="V24" i="17"/>
  <c r="V25" i="17" s="1"/>
  <c r="V35" i="17" s="1"/>
  <c r="V37" i="17" s="1"/>
  <c r="V60" i="17" s="1"/>
  <c r="V63" i="17" s="1"/>
  <c r="V9" i="18" s="1"/>
  <c r="V11" i="18" s="1"/>
  <c r="V15" i="18" s="1"/>
  <c r="V18" i="18" s="1"/>
  <c r="V21" i="18" s="1"/>
  <c r="T109" i="17"/>
  <c r="T110" i="17" s="1"/>
  <c r="T105" i="17"/>
  <c r="M24" i="17"/>
  <c r="M25" i="17" s="1"/>
  <c r="M35" i="17" s="1"/>
  <c r="M37" i="17" s="1"/>
  <c r="M60" i="17" s="1"/>
  <c r="M40" i="17"/>
  <c r="M41" i="17" s="1"/>
  <c r="M51" i="17" s="1"/>
  <c r="M53" i="17" s="1"/>
  <c r="M61" i="17" s="1"/>
  <c r="M56" i="17"/>
  <c r="M57" i="17" s="1"/>
  <c r="M62" i="17" s="1"/>
  <c r="X109" i="17"/>
  <c r="X110" i="17" s="1"/>
  <c r="X105" i="17"/>
  <c r="T24" i="17"/>
  <c r="T25" i="17" s="1"/>
  <c r="T35" i="17" s="1"/>
  <c r="T37" i="17" s="1"/>
  <c r="T60" i="17" s="1"/>
  <c r="T56" i="17"/>
  <c r="T57" i="17" s="1"/>
  <c r="T62" i="17" s="1"/>
  <c r="T40" i="17"/>
  <c r="T41" i="17" s="1"/>
  <c r="T51" i="17" s="1"/>
  <c r="T53" i="17" s="1"/>
  <c r="T61" i="17" s="1"/>
  <c r="Q56" i="17"/>
  <c r="Q57" i="17" s="1"/>
  <c r="Q62" i="17" s="1"/>
  <c r="Q24" i="17"/>
  <c r="Q25" i="17" s="1"/>
  <c r="Q35" i="17" s="1"/>
  <c r="Q37" i="17" s="1"/>
  <c r="Q60" i="17" s="1"/>
  <c r="Q40" i="17"/>
  <c r="Q41" i="17" s="1"/>
  <c r="Q51" i="17" s="1"/>
  <c r="Q53" i="17" s="1"/>
  <c r="Q61" i="17" s="1"/>
  <c r="M109" i="17"/>
  <c r="M110" i="17" s="1"/>
  <c r="M105" i="17"/>
  <c r="Z105" i="17"/>
  <c r="Z109" i="17"/>
  <c r="Z110" i="17" s="1"/>
  <c r="Q109" i="17"/>
  <c r="Q110" i="17" s="1"/>
  <c r="Q105" i="17"/>
  <c r="N24" i="17"/>
  <c r="N25" i="17" s="1"/>
  <c r="N35" i="17" s="1"/>
  <c r="N37" i="17" s="1"/>
  <c r="N60" i="17" s="1"/>
  <c r="N40" i="17"/>
  <c r="N41" i="17" s="1"/>
  <c r="N51" i="17" s="1"/>
  <c r="N53" i="17" s="1"/>
  <c r="N61" i="17" s="1"/>
  <c r="N56" i="17"/>
  <c r="N57" i="17" s="1"/>
  <c r="N62" i="17" s="1"/>
  <c r="V105" i="17"/>
  <c r="V109" i="17"/>
  <c r="V110" i="17" s="1"/>
  <c r="L24" i="17"/>
  <c r="L25" i="17" s="1"/>
  <c r="L35" i="17" s="1"/>
  <c r="L37" i="17" s="1"/>
  <c r="L60" i="17" s="1"/>
  <c r="L40" i="17"/>
  <c r="L41" i="17" s="1"/>
  <c r="L51" i="17" s="1"/>
  <c r="L53" i="17" s="1"/>
  <c r="L61" i="17" s="1"/>
  <c r="L56" i="17"/>
  <c r="L57" i="17" s="1"/>
  <c r="L62" i="17" s="1"/>
  <c r="Y109" i="17"/>
  <c r="Y110" i="17" s="1"/>
  <c r="Y105" i="17"/>
  <c r="J105" i="17"/>
  <c r="J109" i="17"/>
  <c r="J110" i="17" s="1"/>
  <c r="U40" i="17"/>
  <c r="U41" i="17" s="1"/>
  <c r="U51" i="17" s="1"/>
  <c r="U53" i="17" s="1"/>
  <c r="U61" i="17" s="1"/>
  <c r="U24" i="17"/>
  <c r="U25" i="17" s="1"/>
  <c r="U35" i="17" s="1"/>
  <c r="U37" i="17" s="1"/>
  <c r="U60" i="17" s="1"/>
  <c r="U56" i="17"/>
  <c r="U57" i="17" s="1"/>
  <c r="U62" i="17" s="1"/>
  <c r="W105" i="17"/>
  <c r="W109" i="17"/>
  <c r="W110" i="17" s="1"/>
  <c r="O40" i="17"/>
  <c r="O41" i="17" s="1"/>
  <c r="O51" i="17" s="1"/>
  <c r="O53" i="17" s="1"/>
  <c r="O61" i="17" s="1"/>
  <c r="O56" i="17"/>
  <c r="O57" i="17" s="1"/>
  <c r="O62" i="17" s="1"/>
  <c r="O24" i="17"/>
  <c r="O25" i="17" s="1"/>
  <c r="O35" i="17" s="1"/>
  <c r="O37" i="17" s="1"/>
  <c r="O60" i="17" s="1"/>
  <c r="S24" i="17"/>
  <c r="S25" i="17" s="1"/>
  <c r="S35" i="17" s="1"/>
  <c r="S37" i="17" s="1"/>
  <c r="S60" i="17" s="1"/>
  <c r="S56" i="17"/>
  <c r="S57" i="17" s="1"/>
  <c r="S62" i="17" s="1"/>
  <c r="S40" i="17"/>
  <c r="S41" i="17" s="1"/>
  <c r="S51" i="17" s="1"/>
  <c r="S53" i="17" s="1"/>
  <c r="S61" i="17" s="1"/>
  <c r="Z24" i="17"/>
  <c r="Z25" i="17" s="1"/>
  <c r="Z35" i="17" s="1"/>
  <c r="Z37" i="17" s="1"/>
  <c r="Z60" i="17" s="1"/>
  <c r="Z40" i="17"/>
  <c r="Z41" i="17" s="1"/>
  <c r="Z51" i="17" s="1"/>
  <c r="Z53" i="17" s="1"/>
  <c r="Z61" i="17" s="1"/>
  <c r="Z56" i="17"/>
  <c r="Z57" i="17" s="1"/>
  <c r="Z62" i="17" s="1"/>
  <c r="K109" i="17"/>
  <c r="K110" i="17" s="1"/>
  <c r="K105" i="17"/>
  <c r="W56" i="17"/>
  <c r="W57" i="17" s="1"/>
  <c r="W62" i="17" s="1"/>
  <c r="W40" i="17"/>
  <c r="W41" i="17" s="1"/>
  <c r="W51" i="17" s="1"/>
  <c r="W53" i="17" s="1"/>
  <c r="W61" i="17" s="1"/>
  <c r="W24" i="17"/>
  <c r="W25" i="17" s="1"/>
  <c r="W35" i="17" s="1"/>
  <c r="W37" i="17" s="1"/>
  <c r="W60" i="17" s="1"/>
  <c r="O105" i="17"/>
  <c r="O109" i="17"/>
  <c r="O110" i="17" s="1"/>
  <c r="J56" i="17"/>
  <c r="J57" i="17" s="1"/>
  <c r="J62" i="17" s="1"/>
  <c r="J40" i="17"/>
  <c r="J41" i="17" s="1"/>
  <c r="J51" i="17" s="1"/>
  <c r="J53" i="17" s="1"/>
  <c r="J61" i="17" s="1"/>
  <c r="J24" i="17"/>
  <c r="J25" i="17" s="1"/>
  <c r="J35" i="17" s="1"/>
  <c r="J37" i="17" s="1"/>
  <c r="J60" i="17" s="1"/>
  <c r="Y24" i="17"/>
  <c r="Y25" i="17" s="1"/>
  <c r="Y35" i="17" s="1"/>
  <c r="Y37" i="17" s="1"/>
  <c r="Y60" i="17" s="1"/>
  <c r="Y56" i="17"/>
  <c r="Y57" i="17" s="1"/>
  <c r="Y62" i="17" s="1"/>
  <c r="Y40" i="17"/>
  <c r="Y41" i="17" s="1"/>
  <c r="Y51" i="17" s="1"/>
  <c r="Y53" i="17" s="1"/>
  <c r="Y61" i="17" s="1"/>
  <c r="U63" i="17" l="1"/>
  <c r="U9" i="18" s="1"/>
  <c r="U11" i="18" s="1"/>
  <c r="U15" i="18" s="1"/>
  <c r="U18" i="18" s="1"/>
  <c r="U21" i="18" s="1"/>
  <c r="O63" i="17"/>
  <c r="O9" i="18" s="1"/>
  <c r="O11" i="18" s="1"/>
  <c r="O15" i="18" s="1"/>
  <c r="O18" i="18" s="1"/>
  <c r="O21" i="18" s="1"/>
  <c r="V111" i="17"/>
  <c r="V114" i="17" s="1"/>
  <c r="V122" i="17" s="1"/>
  <c r="V113" i="17"/>
  <c r="V121" i="17" s="1"/>
  <c r="V115" i="17"/>
  <c r="V123" i="17" s="1"/>
  <c r="R111" i="17"/>
  <c r="K111" i="17"/>
  <c r="F106" i="17"/>
  <c r="N63" i="17"/>
  <c r="N9" i="18" s="1"/>
  <c r="N11" i="18" s="1"/>
  <c r="N15" i="18" s="1"/>
  <c r="N18" i="18" s="1"/>
  <c r="N21" i="18" s="1"/>
  <c r="T63" i="17"/>
  <c r="T9" i="18" s="1"/>
  <c r="T11" i="18" s="1"/>
  <c r="T15" i="18" s="1"/>
  <c r="T18" i="18" s="1"/>
  <c r="T21" i="18" s="1"/>
  <c r="Y111" i="17"/>
  <c r="K63" i="17"/>
  <c r="K9" i="18" s="1"/>
  <c r="K11" i="18" s="1"/>
  <c r="K15" i="18" s="1"/>
  <c r="K18" i="18" s="1"/>
  <c r="K21" i="18" s="1"/>
  <c r="Q63" i="17"/>
  <c r="Q9" i="18" s="1"/>
  <c r="Q11" i="18" s="1"/>
  <c r="Q15" i="18" s="1"/>
  <c r="Q18" i="18" s="1"/>
  <c r="Q21" i="18" s="1"/>
  <c r="S111" i="17"/>
  <c r="L111" i="17"/>
  <c r="M63" i="17"/>
  <c r="M9" i="18" s="1"/>
  <c r="M11" i="18" s="1"/>
  <c r="M15" i="18" s="1"/>
  <c r="M18" i="18" s="1"/>
  <c r="M21" i="18" s="1"/>
  <c r="Y63" i="17"/>
  <c r="Y9" i="18" s="1"/>
  <c r="Y11" i="18" s="1"/>
  <c r="Y15" i="18" s="1"/>
  <c r="Y18" i="18" s="1"/>
  <c r="Y21" i="18" s="1"/>
  <c r="Z111" i="17"/>
  <c r="P63" i="17"/>
  <c r="P9" i="18" s="1"/>
  <c r="P11" i="18" s="1"/>
  <c r="P15" i="18" s="1"/>
  <c r="P18" i="18" s="1"/>
  <c r="P21" i="18" s="1"/>
  <c r="F58" i="18"/>
  <c r="F36" i="19" s="1"/>
  <c r="N111" i="17"/>
  <c r="O111" i="17"/>
  <c r="J111" i="17"/>
  <c r="T111" i="17"/>
  <c r="F59" i="18"/>
  <c r="F37" i="19" s="1"/>
  <c r="M111" i="17"/>
  <c r="P111" i="17"/>
  <c r="X63" i="17"/>
  <c r="X9" i="18" s="1"/>
  <c r="X11" i="18" s="1"/>
  <c r="X15" i="18" s="1"/>
  <c r="X18" i="18" s="1"/>
  <c r="X21" i="18" s="1"/>
  <c r="F52" i="18"/>
  <c r="F30" i="19" s="1"/>
  <c r="Q111" i="17"/>
  <c r="X111" i="17"/>
  <c r="U111" i="17"/>
  <c r="Z63" i="17"/>
  <c r="Z9" i="18" s="1"/>
  <c r="Z11" i="18" s="1"/>
  <c r="Z15" i="18" s="1"/>
  <c r="Z18" i="18" s="1"/>
  <c r="Z21" i="18" s="1"/>
  <c r="F55" i="18"/>
  <c r="F33" i="19" s="1"/>
  <c r="W111" i="17"/>
  <c r="W63" i="17"/>
  <c r="W9" i="18" s="1"/>
  <c r="W11" i="18" s="1"/>
  <c r="W15" i="18" s="1"/>
  <c r="W18" i="18" s="1"/>
  <c r="W21" i="18" s="1"/>
  <c r="J63" i="17"/>
  <c r="J9" i="18" s="1"/>
  <c r="J11" i="18" s="1"/>
  <c r="J15" i="18" s="1"/>
  <c r="J18" i="18" s="1"/>
  <c r="J21" i="18" s="1"/>
  <c r="S63" i="17"/>
  <c r="S9" i="18" s="1"/>
  <c r="S11" i="18" s="1"/>
  <c r="S15" i="18" s="1"/>
  <c r="S18" i="18" s="1"/>
  <c r="S21" i="18" s="1"/>
  <c r="L63" i="17"/>
  <c r="L9" i="18" s="1"/>
  <c r="L11" i="18" s="1"/>
  <c r="L15" i="18" s="1"/>
  <c r="L18" i="18" s="1"/>
  <c r="L21" i="18" s="1"/>
  <c r="W113" i="17" l="1"/>
  <c r="W121" i="17" s="1"/>
  <c r="W114" i="17"/>
  <c r="W122" i="17" s="1"/>
  <c r="W115" i="17"/>
  <c r="W123" i="17" s="1"/>
  <c r="O114" i="17"/>
  <c r="O122" i="17" s="1"/>
  <c r="O115" i="17"/>
  <c r="O123" i="17" s="1"/>
  <c r="O113" i="17"/>
  <c r="O121" i="17" s="1"/>
  <c r="Z115" i="17"/>
  <c r="Z123" i="17" s="1"/>
  <c r="Z113" i="17"/>
  <c r="Z121" i="17" s="1"/>
  <c r="Z114" i="17"/>
  <c r="Z122" i="17" s="1"/>
  <c r="N115" i="17"/>
  <c r="N123" i="17" s="1"/>
  <c r="N114" i="17"/>
  <c r="N122" i="17" s="1"/>
  <c r="N113" i="17"/>
  <c r="N121" i="17" s="1"/>
  <c r="F51" i="18"/>
  <c r="F29" i="19" s="1"/>
  <c r="F50" i="18"/>
  <c r="F28" i="19" s="1"/>
  <c r="L115" i="17"/>
  <c r="L123" i="17" s="1"/>
  <c r="L114" i="17"/>
  <c r="L122" i="17" s="1"/>
  <c r="L113" i="17"/>
  <c r="L121" i="17" s="1"/>
  <c r="U113" i="17"/>
  <c r="U121" i="17" s="1"/>
  <c r="U114" i="17"/>
  <c r="U122" i="17" s="1"/>
  <c r="U115" i="17"/>
  <c r="U123" i="17" s="1"/>
  <c r="S113" i="17"/>
  <c r="S121" i="17" s="1"/>
  <c r="S115" i="17"/>
  <c r="S123" i="17" s="1"/>
  <c r="S114" i="17"/>
  <c r="S122" i="17" s="1"/>
  <c r="K115" i="17"/>
  <c r="K123" i="17" s="1"/>
  <c r="K113" i="17"/>
  <c r="K121" i="17" s="1"/>
  <c r="K114" i="17"/>
  <c r="K122" i="17" s="1"/>
  <c r="F49" i="18"/>
  <c r="F27" i="19" s="1"/>
  <c r="F54" i="18"/>
  <c r="F32" i="19" s="1"/>
  <c r="R114" i="17"/>
  <c r="R122" i="17" s="1"/>
  <c r="R115" i="17"/>
  <c r="R123" i="17" s="1"/>
  <c r="R113" i="17"/>
  <c r="R121" i="17" s="1"/>
  <c r="R124" i="17" s="1"/>
  <c r="R10" i="18" s="1"/>
  <c r="R12" i="18" s="1"/>
  <c r="R16" i="18" s="1"/>
  <c r="R19" i="18" s="1"/>
  <c r="R22" i="18" s="1"/>
  <c r="F56" i="18"/>
  <c r="F34" i="19" s="1"/>
  <c r="F47" i="18"/>
  <c r="F25" i="19" s="1"/>
  <c r="F57" i="18"/>
  <c r="F35" i="19" s="1"/>
  <c r="F62" i="18"/>
  <c r="F40" i="19" s="1"/>
  <c r="F61" i="18"/>
  <c r="F39" i="19" s="1"/>
  <c r="F63" i="18"/>
  <c r="F41" i="19" s="1"/>
  <c r="P114" i="17"/>
  <c r="P122" i="17" s="1"/>
  <c r="P115" i="17"/>
  <c r="P123" i="17" s="1"/>
  <c r="P113" i="17"/>
  <c r="P121" i="17" s="1"/>
  <c r="M115" i="17"/>
  <c r="M123" i="17" s="1"/>
  <c r="M113" i="17"/>
  <c r="M121" i="17" s="1"/>
  <c r="M114" i="17"/>
  <c r="M122" i="17" s="1"/>
  <c r="F60" i="18"/>
  <c r="F38" i="19" s="1"/>
  <c r="X115" i="17"/>
  <c r="X123" i="17" s="1"/>
  <c r="X114" i="17"/>
  <c r="X122" i="17" s="1"/>
  <c r="X113" i="17"/>
  <c r="X121" i="17" s="1"/>
  <c r="T113" i="17"/>
  <c r="T121" i="17" s="1"/>
  <c r="T115" i="17"/>
  <c r="T123" i="17" s="1"/>
  <c r="T114" i="17"/>
  <c r="T122" i="17" s="1"/>
  <c r="F53" i="18"/>
  <c r="F31" i="19" s="1"/>
  <c r="F48" i="18"/>
  <c r="F26" i="19" s="1"/>
  <c r="Q114" i="17"/>
  <c r="Q122" i="17" s="1"/>
  <c r="Q115" i="17"/>
  <c r="Q123" i="17" s="1"/>
  <c r="Q113" i="17"/>
  <c r="Q121" i="17" s="1"/>
  <c r="Q124" i="17" s="1"/>
  <c r="Q10" i="18" s="1"/>
  <c r="Q12" i="18" s="1"/>
  <c r="Q16" i="18" s="1"/>
  <c r="Q19" i="18" s="1"/>
  <c r="Q22" i="18" s="1"/>
  <c r="F73" i="18" s="1"/>
  <c r="F51" i="19" s="1"/>
  <c r="J113" i="17"/>
  <c r="J121" i="17" s="1"/>
  <c r="J114" i="17"/>
  <c r="J122" i="17" s="1"/>
  <c r="J115" i="17"/>
  <c r="J123" i="17" s="1"/>
  <c r="Y115" i="17"/>
  <c r="Y123" i="17" s="1"/>
  <c r="Y114" i="17"/>
  <c r="Y122" i="17" s="1"/>
  <c r="Y113" i="17"/>
  <c r="Y121" i="17" s="1"/>
  <c r="V124" i="17"/>
  <c r="V10" i="18" s="1"/>
  <c r="V12" i="18" s="1"/>
  <c r="V16" i="18" s="1"/>
  <c r="V19" i="18" s="1"/>
  <c r="V22" i="18" s="1"/>
  <c r="Q23" i="18" l="1"/>
  <c r="F35" i="18" s="1"/>
  <c r="F13" i="19" s="1"/>
  <c r="F39" i="30" s="1"/>
  <c r="X124" i="17"/>
  <c r="X10" i="18" s="1"/>
  <c r="X12" i="18" s="1"/>
  <c r="X16" i="18" s="1"/>
  <c r="X19" i="18" s="1"/>
  <c r="X22" i="18" s="1"/>
  <c r="F80" i="18" s="1"/>
  <c r="F58" i="19" s="1"/>
  <c r="N124" i="17"/>
  <c r="N10" i="18" s="1"/>
  <c r="N12" i="18" s="1"/>
  <c r="N16" i="18" s="1"/>
  <c r="N19" i="18" s="1"/>
  <c r="N22" i="18" s="1"/>
  <c r="F70" i="18" s="1"/>
  <c r="F48" i="19" s="1"/>
  <c r="U124" i="17"/>
  <c r="U10" i="18" s="1"/>
  <c r="U12" i="18" s="1"/>
  <c r="U16" i="18" s="1"/>
  <c r="U19" i="18" s="1"/>
  <c r="U22" i="18" s="1"/>
  <c r="O124" i="17"/>
  <c r="O10" i="18" s="1"/>
  <c r="O12" i="18" s="1"/>
  <c r="O16" i="18" s="1"/>
  <c r="O19" i="18" s="1"/>
  <c r="O22" i="18" s="1"/>
  <c r="P124" i="17"/>
  <c r="P10" i="18" s="1"/>
  <c r="P12" i="18" s="1"/>
  <c r="P16" i="18" s="1"/>
  <c r="P19" i="18" s="1"/>
  <c r="P22" i="18" s="1"/>
  <c r="F72" i="18" s="1"/>
  <c r="F50" i="19" s="1"/>
  <c r="L124" i="17"/>
  <c r="L10" i="18" s="1"/>
  <c r="L12" i="18" s="1"/>
  <c r="L16" i="18" s="1"/>
  <c r="L19" i="18" s="1"/>
  <c r="L22" i="18" s="1"/>
  <c r="F68" i="18" s="1"/>
  <c r="F46" i="19" s="1"/>
  <c r="Y124" i="17"/>
  <c r="Y10" i="18" s="1"/>
  <c r="Y12" i="18" s="1"/>
  <c r="Y16" i="18" s="1"/>
  <c r="Y19" i="18" s="1"/>
  <c r="Y22" i="18" s="1"/>
  <c r="F81" i="18" s="1"/>
  <c r="F59" i="19" s="1"/>
  <c r="F77" i="18"/>
  <c r="F55" i="19" s="1"/>
  <c r="U23" i="18"/>
  <c r="F39" i="18" s="1"/>
  <c r="F17" i="19" s="1"/>
  <c r="F59" i="30" s="1"/>
  <c r="F74" i="18"/>
  <c r="F52" i="19" s="1"/>
  <c r="R23" i="18"/>
  <c r="F36" i="18" s="1"/>
  <c r="F14" i="19" s="1"/>
  <c r="F44" i="30" s="1"/>
  <c r="S124" i="17"/>
  <c r="S10" i="18" s="1"/>
  <c r="S12" i="18" s="1"/>
  <c r="S16" i="18" s="1"/>
  <c r="S19" i="18" s="1"/>
  <c r="S22" i="18" s="1"/>
  <c r="Z124" i="17"/>
  <c r="Z10" i="18" s="1"/>
  <c r="Z12" i="18" s="1"/>
  <c r="Z16" i="18" s="1"/>
  <c r="Z19" i="18" s="1"/>
  <c r="Z22" i="18" s="1"/>
  <c r="T124" i="17"/>
  <c r="T10" i="18" s="1"/>
  <c r="T12" i="18" s="1"/>
  <c r="T16" i="18" s="1"/>
  <c r="T19" i="18" s="1"/>
  <c r="T22" i="18" s="1"/>
  <c r="F71" i="18"/>
  <c r="F49" i="19" s="1"/>
  <c r="O23" i="18"/>
  <c r="F33" i="18" s="1"/>
  <c r="F11" i="19" s="1"/>
  <c r="F29" i="30" s="1"/>
  <c r="J124" i="17"/>
  <c r="J10" i="18" s="1"/>
  <c r="J12" i="18" s="1"/>
  <c r="J16" i="18" s="1"/>
  <c r="J19" i="18" s="1"/>
  <c r="J22" i="18" s="1"/>
  <c r="X23" i="18"/>
  <c r="F42" i="18" s="1"/>
  <c r="F20" i="19" s="1"/>
  <c r="F74" i="30" s="1"/>
  <c r="M124" i="17"/>
  <c r="M10" i="18" s="1"/>
  <c r="M12" i="18" s="1"/>
  <c r="M16" i="18" s="1"/>
  <c r="M19" i="18" s="1"/>
  <c r="M22" i="18" s="1"/>
  <c r="F78" i="18"/>
  <c r="F56" i="19" s="1"/>
  <c r="V23" i="18"/>
  <c r="F40" i="18" s="1"/>
  <c r="F18" i="19" s="1"/>
  <c r="F64" i="30" s="1"/>
  <c r="K124" i="17"/>
  <c r="K10" i="18" s="1"/>
  <c r="K12" i="18" s="1"/>
  <c r="K16" i="18" s="1"/>
  <c r="K19" i="18" s="1"/>
  <c r="K22" i="18" s="1"/>
  <c r="N23" i="18"/>
  <c r="F32" i="18" s="1"/>
  <c r="F10" i="19" s="1"/>
  <c r="F24" i="30" s="1"/>
  <c r="W124" i="17"/>
  <c r="W10" i="18" s="1"/>
  <c r="W12" i="18" s="1"/>
  <c r="W16" i="18" s="1"/>
  <c r="W19" i="18" s="1"/>
  <c r="W22" i="18" s="1"/>
  <c r="P23" i="18" l="1"/>
  <c r="F34" i="18" s="1"/>
  <c r="F12" i="19" s="1"/>
  <c r="F34" i="30" s="1"/>
  <c r="Y23" i="18"/>
  <c r="F43" i="18" s="1"/>
  <c r="F21" i="19" s="1"/>
  <c r="F79" i="30" s="1"/>
  <c r="L23" i="18"/>
  <c r="F30" i="18" s="1"/>
  <c r="F8" i="19" s="1"/>
  <c r="F14" i="30" s="1"/>
  <c r="F67" i="18"/>
  <c r="F45" i="19" s="1"/>
  <c r="K23" i="18"/>
  <c r="F29" i="18" s="1"/>
  <c r="F7" i="19" s="1"/>
  <c r="F9" i="30" s="1"/>
  <c r="F82" i="18"/>
  <c r="F60" i="19" s="1"/>
  <c r="Z23" i="18"/>
  <c r="F44" i="18" s="1"/>
  <c r="F22" i="19" s="1"/>
  <c r="F84" i="30" s="1"/>
  <c r="F75" i="18"/>
  <c r="F53" i="19" s="1"/>
  <c r="S23" i="18"/>
  <c r="F37" i="18" s="1"/>
  <c r="F15" i="19" s="1"/>
  <c r="F49" i="30" s="1"/>
  <c r="F79" i="18"/>
  <c r="F57" i="19" s="1"/>
  <c r="W23" i="18"/>
  <c r="F41" i="18" s="1"/>
  <c r="F19" i="19" s="1"/>
  <c r="F69" i="30" s="1"/>
  <c r="F76" i="18"/>
  <c r="F54" i="19" s="1"/>
  <c r="T23" i="18"/>
  <c r="F38" i="18" s="1"/>
  <c r="F16" i="19" s="1"/>
  <c r="F54" i="30" s="1"/>
  <c r="F69" i="18"/>
  <c r="F47" i="19" s="1"/>
  <c r="M23" i="18"/>
  <c r="F31" i="18" s="1"/>
  <c r="F9" i="19" s="1"/>
  <c r="F19" i="30" s="1"/>
  <c r="F66" i="18"/>
  <c r="F44" i="19" s="1"/>
  <c r="J23" i="18"/>
  <c r="F28" i="18" s="1"/>
  <c r="F6" i="19" s="1"/>
  <c r="F4" i="30" s="1"/>
</calcChain>
</file>

<file path=xl/sharedStrings.xml><?xml version="1.0" encoding="utf-8"?>
<sst xmlns="http://schemas.openxmlformats.org/spreadsheetml/2006/main" count="3051" uniqueCount="311">
  <si>
    <t>Model name:</t>
  </si>
  <si>
    <t>C-MeX PR19 reconciliation model</t>
  </si>
  <si>
    <t>Model code:</t>
  </si>
  <si>
    <t>PR24PD02</t>
  </si>
  <si>
    <t>Version number:</t>
  </si>
  <si>
    <t>Filename:</t>
  </si>
  <si>
    <t>FD Customer measure of experience - C-MeX</t>
  </si>
  <si>
    <t>Date:</t>
  </si>
  <si>
    <t xml:space="preserve">Author: </t>
  </si>
  <si>
    <t>Ofwat</t>
  </si>
  <si>
    <t>Author contact information:</t>
  </si>
  <si>
    <t>PR24@ofwat.gov.uk</t>
  </si>
  <si>
    <t>Summary of model:</t>
  </si>
  <si>
    <t>This model shows how we intend to reconcile outperformance and underperformance payments during our in-period determination of C-MeX.</t>
  </si>
  <si>
    <t>See our policy decisions in 'PR19 final determinations: Customer measure of experience (C-MeX) and developer services measure of experience (D-MeX) policy appendix'.</t>
  </si>
  <si>
    <t>Disclaimer:</t>
  </si>
  <si>
    <t xml:space="preserve">This model is part of our final determinations setting out the price, service, and incentive package for water companies for the period 2025-30. </t>
  </si>
  <si>
    <t>It should be read together with the other documents and information that we have now published</t>
  </si>
  <si>
    <t>Known limitations of the model:</t>
  </si>
  <si>
    <t>There are no known issues in the model</t>
  </si>
  <si>
    <t>Issue</t>
  </si>
  <si>
    <t>Details</t>
  </si>
  <si>
    <t>Model link</t>
  </si>
  <si>
    <t>n/a</t>
  </si>
  <si>
    <t>Changes</t>
  </si>
  <si>
    <t>Below are details of changes to the model from the version 1.1 published March 2020. The changes fix issues that have been identified and implement improvements for clarity and ease of use.</t>
  </si>
  <si>
    <t>Category</t>
  </si>
  <si>
    <t>Sheet(s) in current model</t>
  </si>
  <si>
    <t>Description of change(s) made</t>
  </si>
  <si>
    <t>Model link(s)</t>
  </si>
  <si>
    <t>Formula Update</t>
  </si>
  <si>
    <t>All</t>
  </si>
  <si>
    <t>Redesigned model to be more in line with the FAST modelling standard.</t>
  </si>
  <si>
    <t>Model prepared for 2021-22 with input item code for Residential retail - Revised total revenue (TRt) aligned to the output from the last in-period determination.</t>
  </si>
  <si>
    <t>Logic Update</t>
  </si>
  <si>
    <t>Index</t>
  </si>
  <si>
    <t>Included indexation details required to adjust C-Mex payments from nominal to 2017-18 prices based on the November CPIH details used in the in-period adjustments model. New lines added on Performance payments sheet to adjust the the price base of the payments.</t>
  </si>
  <si>
    <t>Annual C-MeX scores are rounded to 2 decimal places consistent with RAG4 and PR19 reconciliation rulebook guidnace.</t>
  </si>
  <si>
    <t>Payment rates</t>
  </si>
  <si>
    <t>Included flag on Inputs for use in controling divide by zero errors on Payments rates</t>
  </si>
  <si>
    <t>Instructions:</t>
  </si>
  <si>
    <t>Annual C-MeX scores, complaints per 10,000 connections, company UKCSI scores, the C-MeX all-sector upper quartile threshold, and allowed revenue data is added to the 'Inputs' worksheet.</t>
  </si>
  <si>
    <t>The % weightings for the qualitative and quantitative components, and the % payment rates for maximum underperformance and maximum overperformance, on the 'Inputs' worksheet, should not be altered.</t>
  </si>
  <si>
    <t>END OF SHEET</t>
  </si>
  <si>
    <t>COVER SHEETS</t>
  </si>
  <si>
    <t>INPUTS</t>
  </si>
  <si>
    <t>CALCULATIONS</t>
  </si>
  <si>
    <t>OUTPUTS</t>
  </si>
  <si>
    <t>DOCUMENTATION AND QUALITY CONTROL</t>
  </si>
  <si>
    <t>Documentation</t>
  </si>
  <si>
    <t>Quality Control</t>
  </si>
  <si>
    <t>Cover</t>
  </si>
  <si>
    <t>Inputs</t>
  </si>
  <si>
    <t>Outputs</t>
  </si>
  <si>
    <t>Model formatting</t>
  </si>
  <si>
    <t>Validation</t>
  </si>
  <si>
    <t>Front cover</t>
  </si>
  <si>
    <t>Required inputs for the calculation of C-MeX performance payments</t>
  </si>
  <si>
    <t>Calculates each company's outperformance or underperformance rates based on its C-MeX score and the higher performance gates as set out by Ofwat</t>
  </si>
  <si>
    <t>Presents each company's revenue adjustment which will be applied by the PR19 in-period adjustments model for outcome delivery incentives (ODIs)</t>
  </si>
  <si>
    <t>Performance payments</t>
  </si>
  <si>
    <t>Calculates each company's outperformance or underperformance payments based on each company's rate and allowed revenue</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</si>
  <si>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</si>
  <si>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</si>
  <si>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</si>
  <si>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</si>
  <si>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</si>
  <si>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</si>
  <si>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</si>
  <si>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</si>
  <si>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</si>
  <si>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</si>
  <si>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</si>
  <si>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Orange</t>
  </si>
  <si>
    <t>To be used for internal purposes only, removed prior to publication</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</si>
  <si>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</si>
  <si>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</si>
  <si>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</si>
  <si>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</si>
  <si>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</si>
  <si>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</si>
  <si>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</si>
  <si>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</si>
  <si>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</si>
  <si>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</si>
  <si>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Light Yellow shade with stripe through</t>
  </si>
  <si>
    <t>Input with value that is not expected to change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</si>
  <si>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</si>
  <si>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</si>
  <si>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</si>
  <si>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</si>
  <si>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</si>
  <si>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</si>
  <si>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</si>
  <si>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</si>
  <si>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</si>
  <si>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</si>
  <si>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</si>
  <si>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</si>
  <si>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</si>
  <si>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</si>
  <si>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</si>
  <si>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</si>
  <si>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</si>
  <si>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</si>
  <si>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</si>
  <si>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</si>
  <si>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</si>
  <si>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</si>
  <si>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</si>
  <si>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</si>
  <si>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Company name</t>
  </si>
  <si>
    <t>Acronym</t>
  </si>
  <si>
    <t>Affinity Water</t>
  </si>
  <si>
    <t>AFW</t>
  </si>
  <si>
    <t>Anglian Water</t>
  </si>
  <si>
    <t>ANH</t>
  </si>
  <si>
    <t>Bristol Water</t>
  </si>
  <si>
    <t>BRL</t>
  </si>
  <si>
    <t>Dŵr Cymru</t>
  </si>
  <si>
    <t>WSH</t>
  </si>
  <si>
    <t>Hafren Dyfrdwy</t>
  </si>
  <si>
    <t>HDD</t>
  </si>
  <si>
    <t>Northumbrian Water</t>
  </si>
  <si>
    <t>NES</t>
  </si>
  <si>
    <t>Portsmouth Water</t>
  </si>
  <si>
    <t>PRT</t>
  </si>
  <si>
    <t>SES Water</t>
  </si>
  <si>
    <t>SES</t>
  </si>
  <si>
    <t>Severn Trent Water</t>
  </si>
  <si>
    <t>SVE</t>
  </si>
  <si>
    <t>South East Water</t>
  </si>
  <si>
    <t>SEW</t>
  </si>
  <si>
    <t>South Staffs Water</t>
  </si>
  <si>
    <t>SSC</t>
  </si>
  <si>
    <t>South West Water</t>
  </si>
  <si>
    <t>SWB</t>
  </si>
  <si>
    <t>Southern Water</t>
  </si>
  <si>
    <t>SRN</t>
  </si>
  <si>
    <t>Thames Water</t>
  </si>
  <si>
    <t>TMS</t>
  </si>
  <si>
    <t>United Utilities</t>
  </si>
  <si>
    <t>NWT</t>
  </si>
  <si>
    <t>Wessex Water</t>
  </si>
  <si>
    <t>WSX</t>
  </si>
  <si>
    <t>Yorkshire Water</t>
  </si>
  <si>
    <t>YKY</t>
  </si>
  <si>
    <t>IPD02_IN</t>
  </si>
  <si>
    <t>Run on 06 Aug 2024 11:57</t>
  </si>
  <si>
    <t>Reference</t>
  </si>
  <si>
    <t>Item description</t>
  </si>
  <si>
    <t>Unit</t>
  </si>
  <si>
    <t>Model</t>
  </si>
  <si>
    <t>2023-24</t>
  </si>
  <si>
    <t>APR3C_01</t>
  </si>
  <si>
    <t>Annual customer satisfaction score for the customer service survey</t>
  </si>
  <si>
    <t>Nr</t>
  </si>
  <si>
    <t>PR19 In Period Determinations</t>
  </si>
  <si>
    <t>APR3C_02</t>
  </si>
  <si>
    <t>Annual customer satisfaction score for the customer experience survey</t>
  </si>
  <si>
    <t>APR3C_03</t>
  </si>
  <si>
    <t>Annual C-MeX score</t>
  </si>
  <si>
    <t>APR3C_04</t>
  </si>
  <si>
    <t>Annual net promoter score</t>
  </si>
  <si>
    <t>APR3C_05</t>
  </si>
  <si>
    <t>Total household complaints</t>
  </si>
  <si>
    <t>APR3C_06</t>
  </si>
  <si>
    <t>Total connected household properties</t>
  </si>
  <si>
    <t>APR3C_07</t>
  </si>
  <si>
    <t>Total household complaints per 10,000 connections</t>
  </si>
  <si>
    <t>APR3C_08</t>
  </si>
  <si>
    <t>Confirmation of communication channels offered</t>
  </si>
  <si>
    <t>Text</t>
  </si>
  <si>
    <t>true</t>
  </si>
  <si>
    <t>C_PR19FM1922POST_PD020_OUT</t>
  </si>
  <si>
    <t>Residential retail - Revised total revenue (TRt)</t>
  </si>
  <si>
    <t>£m</t>
  </si>
  <si>
    <t>APR3C_001</t>
  </si>
  <si>
    <t>Number</t>
  </si>
  <si>
    <t>APR3C_002</t>
  </si>
  <si>
    <t>APR3C_003</t>
  </si>
  <si>
    <t>APR3C_004</t>
  </si>
  <si>
    <t>APR3C_005</t>
  </si>
  <si>
    <t>APR3C_006</t>
  </si>
  <si>
    <t>APR3C_007</t>
  </si>
  <si>
    <t>APR3C_008</t>
  </si>
  <si>
    <t>PR19FM1922POST</t>
  </si>
  <si>
    <t>Residential retail service revenue (sum of margin, CTS and revenue adjustment) - nominal</t>
  </si>
  <si>
    <t>UUW</t>
  </si>
  <si>
    <t>Constant</t>
  </si>
  <si>
    <t>Total</t>
  </si>
  <si>
    <t>Annual company C-MeX scores</t>
  </si>
  <si>
    <t>Annual C-MeX scores</t>
  </si>
  <si>
    <t>As reported by each company in its annual performance report, taking account of the communication channels adjustment where relevant</t>
  </si>
  <si>
    <t>Annual company complaints per 10,000 customers</t>
  </si>
  <si>
    <t>Complaints per 10,000 connections</t>
  </si>
  <si>
    <t>As reported by each company in its annual performance report, aligned to the definition of complaints by CCW</t>
  </si>
  <si>
    <t>Annual company UKCSI score</t>
  </si>
  <si>
    <t>Company UKCSI scores</t>
  </si>
  <si>
    <t>Each company's relevant score in the UK Customer Satisfaction Index (UKCSI) as reported by the Institute for Customer Service</t>
  </si>
  <si>
    <t>C-MeX all-sector upper quartile threshold</t>
  </si>
  <si>
    <t>Provided by Ofwat</t>
  </si>
  <si>
    <t>Upper quartile of all-sector UKCSI scores</t>
  </si>
  <si>
    <t>Annual allowed residential retail revenue</t>
  </si>
  <si>
    <t>Allowed revenue</t>
  </si>
  <si>
    <t>Each company's annual allowed residential retail revenue for the year of performance</t>
  </si>
  <si>
    <t>£m (nominal)</t>
  </si>
  <si>
    <t>Transform industry data into horizontal format</t>
  </si>
  <si>
    <t>Company names</t>
  </si>
  <si>
    <t>C-MeX score</t>
  </si>
  <si>
    <t>UKCSI score</t>
  </si>
  <si>
    <t>Allowed residential retail for year of performance</t>
  </si>
  <si>
    <t>Inputs for policy decisions (provided by Ofwat)</t>
  </si>
  <si>
    <t>Maximum and minimum standard payment rates</t>
  </si>
  <si>
    <t>Maximum standard outperformance payment rates</t>
  </si>
  <si>
    <t>Percentage</t>
  </si>
  <si>
    <t>Maximum standard underperformance payment rates</t>
  </si>
  <si>
    <t>Higher performance payments</t>
  </si>
  <si>
    <t>One of the top 'x' performers on C-MeX</t>
  </si>
  <si>
    <t>Higher performance rates for top-ranked companies</t>
  </si>
  <si>
    <t>Higher performance rate for top ranked company</t>
  </si>
  <si>
    <t>Higher performance rate for second ranked company</t>
  </si>
  <si>
    <t>Higher performance rate for third ranked company</t>
  </si>
  <si>
    <t>PR24 model run</t>
  </si>
  <si>
    <t>Flag</t>
  </si>
  <si>
    <t>0 = DD, 1 = FD</t>
  </si>
  <si>
    <t>Model Period END</t>
  </si>
  <si>
    <t>Pre Forecast vs Forecast</t>
  </si>
  <si>
    <t>Pre Fcst</t>
  </si>
  <si>
    <t>Forecast</t>
  </si>
  <si>
    <t>Financial Year Ending</t>
  </si>
  <si>
    <t>Model column counter</t>
  </si>
  <si>
    <t>Report year</t>
  </si>
  <si>
    <t>Report year financial year ending</t>
  </si>
  <si>
    <t>Indexation</t>
  </si>
  <si>
    <t>CPIH: ONS published index for November</t>
  </si>
  <si>
    <t>CPIH: Nov - Nov index inflating from 2017-18</t>
  </si>
  <si>
    <t>CPIH index November (prior year to base year 2017-18)</t>
  </si>
  <si>
    <t>Base year 2017-18 or later flag</t>
  </si>
  <si>
    <t>CPIH index November (prior year)</t>
  </si>
  <si>
    <t>CPIH: Nov - Nov index (prior year) inflating from 2017-18</t>
  </si>
  <si>
    <t>Factor</t>
  </si>
  <si>
    <t>END</t>
  </si>
  <si>
    <t>Companies' C-MeX scores</t>
  </si>
  <si>
    <t>C-MeX score - rank</t>
  </si>
  <si>
    <t>Standard performance payments</t>
  </si>
  <si>
    <t>Statistical parameters</t>
  </si>
  <si>
    <t>C-MeX score - mean average</t>
  </si>
  <si>
    <t>C-MeX score - median average</t>
  </si>
  <si>
    <t>C-MeX score - maximum</t>
  </si>
  <si>
    <t>C-MeX score - minimum</t>
  </si>
  <si>
    <t>Difference from median</t>
  </si>
  <si>
    <t>Standard performance payment rates</t>
  </si>
  <si>
    <t>If score is above the median</t>
  </si>
  <si>
    <t>Difference from median - positive scores only</t>
  </si>
  <si>
    <t>Difference between median and maximum score</t>
  </si>
  <si>
    <t>Outperformance rate - % per score</t>
  </si>
  <si>
    <t>Company's standard outperformance rate</t>
  </si>
  <si>
    <t>If score is below the median</t>
  </si>
  <si>
    <t>Difference from median - negative scores only</t>
  </si>
  <si>
    <t>Difference between median and minimum score</t>
  </si>
  <si>
    <t>Underperformance rate - % per score</t>
  </si>
  <si>
    <t>Company's standard underperformance rate</t>
  </si>
  <si>
    <t>If score is equal to the median</t>
  </si>
  <si>
    <t>Median company's payment rate</t>
  </si>
  <si>
    <t>Company's standard performance payment rate</t>
  </si>
  <si>
    <t>Top performer in C-MeX?</t>
  </si>
  <si>
    <t>Is company a top performer in C-MeX?</t>
  </si>
  <si>
    <t>TRUE/FALSE</t>
  </si>
  <si>
    <t>Below average in complaints?</t>
  </si>
  <si>
    <t>Average industry complaints</t>
  </si>
  <si>
    <t>Is company below average in complaints?</t>
  </si>
  <si>
    <t>Performs better than the C-MeX all-sector upper quartile threshold?</t>
  </si>
  <si>
    <t>Average of C-MeX scores</t>
  </si>
  <si>
    <t>Standard deviation of C-MeX scores</t>
  </si>
  <si>
    <t>Average of water company UKCSI scores</t>
  </si>
  <si>
    <t>Standard deviation of water company UKCSI scores</t>
  </si>
  <si>
    <t>C-MeX score higher than threshold?</t>
  </si>
  <si>
    <t>Does company meet all higher payment gates?</t>
  </si>
  <si>
    <t>Calculating higher performance rates</t>
  </si>
  <si>
    <t>Number of companies passing higher payment gates</t>
  </si>
  <si>
    <t>C-MeX score of higher performing companies</t>
  </si>
  <si>
    <t>Higher performing companies - rank</t>
  </si>
  <si>
    <t>Is company top ranked?</t>
  </si>
  <si>
    <t>Is company second ranked?</t>
  </si>
  <si>
    <t>Is company third ranked?</t>
  </si>
  <si>
    <t>Higher performance rate - top ranked</t>
  </si>
  <si>
    <t>Higher performance rate - second ranked</t>
  </si>
  <si>
    <t>Higher performance rate - third ranked</t>
  </si>
  <si>
    <t>Company's higher performance rate</t>
  </si>
  <si>
    <t>Companies' C-MeX payments</t>
  </si>
  <si>
    <t>Price base adjusted from nominal to 2017-18 prices</t>
  </si>
  <si>
    <t>£m (2017-18 FYA CPIH prices)</t>
  </si>
  <si>
    <t>Total performance payments</t>
  </si>
  <si>
    <t>Transform industry data into vertical format</t>
  </si>
  <si>
    <t>Companies' performance payments for C-MeX</t>
  </si>
  <si>
    <t>[Fountain will populate this cell with the report name. Keep this placeholder here]</t>
  </si>
  <si>
    <t>[Fountain will put a date and timestamp here]</t>
  </si>
  <si>
    <t>C_PR24PD02_OUT_01_PR24</t>
  </si>
  <si>
    <t>Other in-period performance payments - C-MeX (residential retail)</t>
  </si>
  <si>
    <t>Price Review 2024</t>
  </si>
  <si>
    <t>PR24QA_PR24PD02_OUT1</t>
  </si>
  <si>
    <t>Date &amp; Time for Model - PR24PD02</t>
  </si>
  <si>
    <t>PR24QA_PR24PD02_OUT2</t>
  </si>
  <si>
    <t>Name of Model - PR24PD02</t>
  </si>
  <si>
    <t>PR24QA_PR24PD02_OUT3</t>
  </si>
  <si>
    <t>F_Inputs time stamp - PR24PD02</t>
  </si>
  <si>
    <t>N/A</t>
  </si>
  <si>
    <t>PR24QA_PR24PD02_OUT4</t>
  </si>
  <si>
    <t>Model override switch for - PR24PD02</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</si>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</sst>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_);_(* \(#,##0.00\);_(* &quot;-&quot;??_);_(@_)"/>
    <numFmt numFmtId="165" formatCode="#,##0_);\(#,##0\);&quot;-  &quot;;&quot; &quot;@&quot; &quot;"/>
    <numFmt numFmtId="166" formatCode="0.000"/>
    <numFmt numFmtId="167" formatCode="0.0%"/>
    <numFmt numFmtId="168" formatCode="_(* #,##0.0_);_(* \(#,##0.0\);_(* &quot;-&quot;??_);_(@_)"/>
    <numFmt numFmtId="169" formatCode="#,##0_);\(#,##0\);&quot;-  &quot;;&quot; &quot;@"/>
    <numFmt numFmtId="170" formatCode="dd\ mmm\ yy_);;&quot;-  &quot;;&quot; &quot;@&quot; &quot;"/>
    <numFmt numFmtId="171" formatCode="#,##0.0000_);\(#,##0.0000\);&quot;-  &quot;;&quot; &quot;@&quot; &quot;"/>
    <numFmt numFmtId="172" formatCode="0.00%_);\-0.00%_);&quot;-  &quot;;&quot; &quot;@&quot; &quot;"/>
    <numFmt numFmtId="173" formatCode="dd\ mmm\ yyyy_);\(###0\);&quot;-  &quot;;&quot; &quot;@&quot; &quot;"/>
    <numFmt numFmtId="174" formatCode="dd\ mmm\ yy_);\(###0\);&quot;-  &quot;;&quot; &quot;@&quot; &quot;"/>
    <numFmt numFmtId="175" formatCode="###0_);\(###0\);&quot;-  &quot;;&quot; &quot;@&quot; &quot;"/>
    <numFmt numFmtId="176" formatCode="0.0"/>
    <numFmt numFmtId="177" formatCode="#,##0.000"/>
    <numFmt numFmtId="178" formatCode="#,##0.00_);\(#,##0.00\);&quot;-  &quot;;&quot; &quot;@&quot; &quot;"/>
    <numFmt numFmtId="179" formatCode="#,##0.000000"/>
    <numFmt numFmtId="180" formatCode="_(* #,##0_);_(* \(#,##0\);_(* &quot;-&quot;??_);_(@_)"/>
    <numFmt numFmtId="181" formatCode="#,##0.000_);\(#,##0.000\);&quot;-  &quot;;&quot; &quot;@&quot; &quot;"/>
    <numFmt numFmtId="182" formatCode="0.000000"/>
    <numFmt numFmtId="183" formatCode="#,##0.0_);\(#,##0.0\);&quot;-  &quot;;&quot; &quot;@&quot; &quot;"/>
  </numFmts>
  <fonts count="6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24"/>
      <color theme="0"/>
      <name val="Franklin Gothic Demi"/>
      <family val="2"/>
    </font>
    <font>
      <sz val="10"/>
      <color theme="1"/>
      <name val="Arial"/>
      <family val="2"/>
    </font>
    <font>
      <sz val="11"/>
      <color theme="1"/>
      <name val="Franklin Gothic Demi"/>
      <family val="2"/>
    </font>
    <font>
      <sz val="10"/>
      <color theme="1"/>
      <name val="Franklin Gothic Demi"/>
      <family val="2"/>
    </font>
    <font>
      <sz val="10"/>
      <color rgb="FF0078C9"/>
      <name val="Arial"/>
      <family val="2"/>
    </font>
    <font>
      <sz val="10"/>
      <color theme="0"/>
      <name val="Franklin Gothic Demi"/>
      <family val="2"/>
    </font>
    <font>
      <sz val="10"/>
      <color theme="0"/>
      <name val="Arial"/>
      <family val="2"/>
    </font>
    <font>
      <sz val="10"/>
      <color rgb="FF9C0006"/>
      <name val="Arial"/>
      <family val="2"/>
    </font>
    <font>
      <sz val="10"/>
      <color rgb="FF0078C9"/>
      <name val="Franklin Gothic Demi"/>
      <family val="2"/>
    </font>
    <font>
      <sz val="10"/>
      <color rgb="FFFE4819"/>
      <name val="Arial"/>
      <family val="2"/>
    </font>
    <font>
      <sz val="10"/>
      <color rgb="FF719500"/>
      <name val="Arial"/>
      <family val="2"/>
    </font>
    <font>
      <sz val="10"/>
      <color rgb="FF006100"/>
      <name val="Arial"/>
      <family val="2"/>
    </font>
    <font>
      <sz val="10"/>
      <color rgb="FF9C6500"/>
      <name val="Arial"/>
      <family val="2"/>
    </font>
    <font>
      <u/>
      <sz val="10"/>
      <color theme="10"/>
      <name val="Arial"/>
      <family val="2"/>
    </font>
    <font>
      <b/>
      <sz val="10"/>
      <color theme="1"/>
      <name val="Arial"/>
      <family val="2"/>
    </font>
    <font>
      <sz val="10"/>
      <name val="Arial"/>
      <family val="2"/>
    </font>
    <font>
      <sz val="10"/>
      <color theme="0" tint="-0.249977111117893"/>
      <name val="Arial"/>
      <family val="2"/>
    </font>
    <font>
      <sz val="10"/>
      <color indexed="12"/>
      <name val="Arial"/>
      <family val="2"/>
    </font>
    <font>
      <sz val="10"/>
      <color theme="9"/>
      <name val="Arial"/>
      <family val="2"/>
    </font>
    <font>
      <sz val="10"/>
      <color theme="4"/>
      <name val="Arial"/>
      <family val="2"/>
    </font>
    <font>
      <b/>
      <sz val="10"/>
      <color theme="4"/>
      <name val="Arial"/>
      <family val="2"/>
    </font>
    <font>
      <b/>
      <sz val="10"/>
      <name val="Arial"/>
      <family val="2"/>
    </font>
    <font>
      <b/>
      <sz val="10"/>
      <color theme="9"/>
      <name val="Arial"/>
      <family val="2"/>
    </font>
    <font>
      <b/>
      <i/>
      <sz val="10"/>
      <color theme="1"/>
      <name val="Arial"/>
      <family val="2"/>
    </font>
    <font>
      <b/>
      <i/>
      <sz val="10"/>
      <name val="Arial"/>
      <family val="2"/>
    </font>
    <font>
      <b/>
      <sz val="10"/>
      <color theme="0"/>
      <name val="Arial"/>
      <family val="2"/>
    </font>
    <font>
      <sz val="16"/>
      <color rgb="FF002664"/>
      <name val="Arial Rounded MT Bold"/>
      <family val="2"/>
    </font>
    <font>
      <sz val="14"/>
      <color rgb="FF002664"/>
      <name val="Arial Rounded MT Bold"/>
      <family val="2"/>
    </font>
    <font>
      <sz val="12"/>
      <color rgb="FF002664"/>
      <name val="Arial Rounded MT Bold"/>
      <family val="2"/>
    </font>
    <font>
      <u/>
      <sz val="10"/>
      <name val="Arial"/>
      <family val="2"/>
    </font>
    <font>
      <sz val="10"/>
      <color indexed="10"/>
      <name val="Arial"/>
      <family val="2"/>
    </font>
    <font>
      <i/>
      <sz val="10"/>
      <color rgb="FF00B050"/>
      <name val="Arial"/>
      <family val="2"/>
    </font>
    <font>
      <sz val="10"/>
      <name val="Arial"/>
      <family val="2"/>
      <scheme val="minor"/>
    </font>
    <font>
      <u/>
      <sz val="11"/>
      <color theme="10"/>
      <name val="Arial"/>
      <family val="2"/>
    </font>
    <font>
      <sz val="10"/>
      <color rgb="FF0078C9"/>
      <name val="Franklin Gothic Demi"/>
      <family val="2"/>
      <scheme val="major"/>
    </font>
    <font>
      <b/>
      <sz val="10"/>
      <name val="Arial"/>
      <family val="2"/>
      <scheme val="minor"/>
    </font>
    <font>
      <b/>
      <sz val="22.5"/>
      <color theme="0"/>
      <name val="Franklin Gothic Demi"/>
      <family val="2"/>
    </font>
    <font>
      <i/>
      <sz val="12"/>
      <color theme="0"/>
      <name val="Franklin Gothic Demi"/>
      <family val="2"/>
    </font>
    <font>
      <sz val="12"/>
      <color theme="0"/>
      <name val="Franklin Gothic Demi"/>
      <family val="2"/>
    </font>
    <font>
      <sz val="12"/>
      <color rgb="FF000000"/>
      <name val="Franklin Gothic Book"/>
      <family val="2"/>
    </font>
    <font>
      <sz val="10"/>
      <color rgb="FF000000"/>
      <name val="Arial"/>
      <family val="2"/>
    </font>
    <font>
      <i/>
      <sz val="12"/>
      <color rgb="FF000000"/>
      <name val="Franklin Gothic Demi"/>
      <family val="2"/>
    </font>
    <font>
      <sz val="10"/>
      <color rgb="FF0000FF"/>
      <name val="Arial"/>
      <family val="2"/>
    </font>
    <font>
      <b/>
      <u/>
      <sz val="10"/>
      <color theme="1"/>
      <name val="Arial"/>
      <family val="2"/>
    </font>
    <font>
      <sz val="10"/>
      <color rgb="FF0070C0"/>
      <name val="Arial"/>
      <family val="2"/>
    </font>
    <font>
      <sz val="8"/>
      <name val="Arial"/>
      <family val="2"/>
    </font>
    <font>
      <sz val="10"/>
      <color theme="1"/>
      <name val="Arial"/>
      <family val="2"/>
      <scheme val="minor"/>
    </font>
    <font>
      <sz val="22"/>
      <color theme="0"/>
      <name val="Franklin Gothic Demi"/>
      <family val="2"/>
      <scheme val="major"/>
    </font>
    <font>
      <i/>
      <sz val="22"/>
      <color rgb="FF00B050"/>
      <name val="Franklin Gothic Demi"/>
      <family val="2"/>
      <scheme val="major"/>
    </font>
    <font>
      <sz val="22"/>
      <name val="Franklin Gothic Demi"/>
      <family val="2"/>
      <scheme val="major"/>
    </font>
    <font>
      <sz val="22"/>
      <color theme="1"/>
      <name val="Franklin Gothic Demi"/>
      <family val="2"/>
      <scheme val="major"/>
    </font>
    <font>
      <b/>
      <u/>
      <sz val="10"/>
      <name val="Arial"/>
      <family val="2"/>
    </font>
    <font>
      <u/>
      <sz val="10"/>
      <color theme="1"/>
      <name val="Arial"/>
      <family val="2"/>
    </font>
    <font>
      <sz val="10"/>
      <color rgb="FFFF0000"/>
      <name val="Arial"/>
      <family val="2"/>
    </font>
    <font>
      <b/>
      <sz val="10"/>
      <color rgb="FFFF0000"/>
      <name val="Arial"/>
      <family val="2"/>
    </font>
    <font>
      <b/>
      <sz val="10"/>
      <color theme="1"/>
      <name val="Arial"/>
      <family val="2"/>
      <scheme val="minor"/>
    </font>
    <font>
      <u/>
      <sz val="10"/>
      <color theme="0"/>
      <name val="Arial"/>
      <family val="2"/>
    </font>
    <font>
      <b/>
      <u/>
      <sz val="11"/>
      <name val="Calibri"/>
      <family val="2"/>
    </font>
    <font>
      <sz val="11"/>
      <color rgb="FF000000"/>
      <name val="Arial"/>
      <family val="2"/>
    </font>
    <font>
      <sz val="11"/>
      <color rgb="FF000000"/>
      <name val="Calibri"/>
      <family val="2"/>
    </font>
    <font>
      <sz val="11"/>
      <name val="Calibri"/>
      <family val="2"/>
    </font>
    <font>
      <sz val="11"/>
      <color theme="1"/>
      <name val="Calibri"/>
      <family val="2"/>
    </font>
    <font>
      <b/>
      <sz val="11"/>
      <name val="Calibri"/>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rgb="FFFCEABF"/>
        <bgColor indexed="64"/>
      </patternFill>
    </fill>
    <fill>
      <patternFill patternType="solid">
        <fgColor rgb="FFE0DCD8"/>
        <bgColor indexed="64"/>
      </patternFill>
    </fill>
    <fill>
      <patternFill patternType="solid">
        <fgColor rgb="FF7FBBE4"/>
        <bgColor indexed="64"/>
      </patternFill>
    </fill>
    <fill>
      <patternFill patternType="solid">
        <fgColor rgb="FFD740A2"/>
        <bgColor indexed="64"/>
      </patternFill>
    </fill>
    <fill>
      <patternFill patternType="solid">
        <fgColor rgb="FFBFDDF1"/>
        <bgColor indexed="64"/>
      </patternFill>
    </fill>
    <fill>
      <patternFill patternType="solid">
        <fgColor rgb="FF003479"/>
        <bgColor indexed="64"/>
      </patternFill>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rgb="FFF0EEEC"/>
        <bgColor indexed="64"/>
      </patternFill>
    </fill>
    <fill>
      <patternFill patternType="lightUp">
        <bgColor rgb="FF003479"/>
      </patternFill>
    </fill>
    <fill>
      <patternFill patternType="solid">
        <fgColor rgb="FFD9D9D9"/>
        <bgColor indexed="64"/>
      </patternFill>
    </fill>
    <fill>
      <patternFill patternType="solid">
        <fgColor theme="0" tint="-0.14999847407452621"/>
        <bgColor indexed="64"/>
      </patternFill>
    </fill>
    <fill>
      <patternFill patternType="solid">
        <fgColor indexed="10"/>
        <bgColor indexed="64"/>
      </patternFill>
    </fill>
    <fill>
      <patternFill patternType="solid">
        <fgColor rgb="FF99CCFF"/>
        <bgColor indexed="64"/>
      </patternFill>
    </fill>
    <fill>
      <patternFill patternType="solid">
        <fgColor rgb="FFFFFFAF"/>
        <bgColor indexed="64"/>
      </patternFill>
    </fill>
    <fill>
      <patternFill patternType="solid">
        <fgColor indexed="44"/>
        <bgColor indexed="64"/>
      </patternFill>
    </fill>
    <fill>
      <patternFill patternType="solid">
        <fgColor theme="6"/>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51"/>
        <bgColor indexed="64"/>
      </patternFill>
    </fill>
    <fill>
      <patternFill patternType="solid">
        <fgColor indexed="43"/>
        <bgColor indexed="64"/>
      </patternFill>
    </fill>
    <fill>
      <patternFill patternType="solid">
        <fgColor rgb="FFFFFF99"/>
        <bgColor indexed="64"/>
      </patternFill>
    </fill>
    <fill>
      <patternFill patternType="lightDown">
        <bgColor rgb="FFFFFF99"/>
      </patternFill>
    </fill>
    <fill>
      <patternFill patternType="lightDown">
        <bgColor rgb="FFFFFFAF"/>
      </patternFill>
    </fill>
    <fill>
      <patternFill patternType="solid">
        <fgColor theme="5" tint="0.79998168889431442"/>
        <bgColor indexed="64"/>
      </patternFill>
    </fill>
    <fill>
      <patternFill patternType="solid">
        <fgColor rgb="FFCCFFFF"/>
        <bgColor indexed="64"/>
      </patternFill>
    </fill>
    <fill>
      <patternFill patternType="solid">
        <fgColor rgb="FFFFFFFF"/>
        <bgColor indexed="64"/>
      </patternFill>
    </fill>
    <fill>
      <patternFill patternType="solid">
        <fgColor rgb="FFFFC000"/>
        <bgColor indexed="64"/>
      </patternFill>
    </fill>
    <fill>
      <patternFill patternType="solid">
        <fgColor theme="2" tint="-0.14999847407452621"/>
        <bgColor indexed="64"/>
      </patternFill>
    </fill>
    <fill>
      <patternFill patternType="solid">
        <fgColor rgb="FFFFFF00"/>
      </patternFill>
    </fill>
    <fill>
      <patternFill patternType="solid">
        <fgColor rgb="FFFFFFE0"/>
      </patternFill>
    </fill>
  </fills>
  <borders count="18">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857362"/>
      </left>
      <right style="thin">
        <color rgb="FF857362"/>
      </right>
      <top style="thin">
        <color rgb="FF857362"/>
      </top>
      <bottom style="thin">
        <color rgb="FF857362"/>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8">
    <xf numFmtId="0" fontId="0" fillId="0" borderId="0"/>
    <xf numFmtId="0" fontId="6" fillId="11" borderId="0" applyNumberFormat="0" applyBorder="0" applyAlignment="0" applyProtection="0"/>
    <xf numFmtId="0" fontId="8"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17" fillId="2" borderId="0" applyNumberFormat="0" applyBorder="0" applyAlignment="0" applyProtection="0"/>
    <xf numFmtId="0" fontId="13" fillId="3" borderId="0" applyNumberFormat="0" applyBorder="0" applyAlignment="0" applyProtection="0"/>
    <xf numFmtId="0" fontId="18" fillId="4" borderId="0" applyNumberFormat="0" applyBorder="0" applyAlignment="0" applyProtection="0"/>
    <xf numFmtId="0" fontId="7" fillId="6" borderId="0" applyNumberFormat="0" applyAlignment="0" applyProtection="0"/>
    <xf numFmtId="0" fontId="7" fillId="0" borderId="0" applyNumberFormat="0" applyBorder="0" applyAlignment="0" applyProtection="0"/>
    <xf numFmtId="0" fontId="7" fillId="0" borderId="0" applyNumberFormat="0" applyBorder="0" applyAlignment="0" applyProtection="0"/>
    <xf numFmtId="0" fontId="10" fillId="0" borderId="0" applyNumberFormat="0" applyBorder="0" applyAlignment="0" applyProtection="0"/>
    <xf numFmtId="165" fontId="12" fillId="9" borderId="0" applyAlignment="0" applyProtection="0"/>
    <xf numFmtId="0" fontId="11" fillId="9" borderId="0" applyNumberFormat="0" applyBorder="0" applyAlignment="0" applyProtection="0"/>
    <xf numFmtId="0" fontId="16" fillId="5" borderId="0" applyNumberFormat="0" applyFill="0" applyAlignment="0" applyProtection="0"/>
    <xf numFmtId="0" fontId="16" fillId="0" borderId="0" applyNumberFormat="0" applyBorder="0" applyAlignment="0" applyProtection="0"/>
    <xf numFmtId="0" fontId="5" fillId="0" borderId="1" applyNumberFormat="0" applyFill="0" applyAlignment="0" applyProtection="0"/>
    <xf numFmtId="0" fontId="7" fillId="7" borderId="0" applyNumberFormat="0" applyBorder="0" applyAlignment="0" applyProtection="0"/>
    <xf numFmtId="0" fontId="10" fillId="7" borderId="0" applyNumberFormat="0" applyBorder="0" applyAlignment="0" applyProtection="0"/>
    <xf numFmtId="0" fontId="7" fillId="8" borderId="0" applyNumberFormat="0" applyBorder="0" applyAlignment="0" applyProtection="0"/>
    <xf numFmtId="0" fontId="7" fillId="7" borderId="0" applyNumberFormat="0" applyFont="0" applyBorder="0" applyAlignment="0" applyProtection="0"/>
    <xf numFmtId="0" fontId="14" fillId="10" borderId="0" applyNumberFormat="0" applyAlignment="0" applyProtection="0"/>
    <xf numFmtId="0" fontId="7" fillId="13" borderId="0" applyNumberFormat="0" applyBorder="0" applyAlignment="0" applyProtection="0"/>
    <xf numFmtId="0" fontId="15" fillId="0" borderId="0" applyNumberFormat="0" applyBorder="0" applyAlignment="0" applyProtection="0"/>
    <xf numFmtId="0" fontId="11" fillId="11" borderId="0" applyNumberFormat="0" applyAlignment="0" applyProtection="0"/>
    <xf numFmtId="0" fontId="19" fillId="0" borderId="0" applyNumberFormat="0" applyFill="0" applyBorder="0" applyAlignment="0" applyProtection="0"/>
    <xf numFmtId="9" fontId="7" fillId="0" borderId="0" applyFont="0" applyFill="0" applyBorder="0" applyAlignment="0" applyProtection="0"/>
    <xf numFmtId="165" fontId="7" fillId="0" borderId="0" applyFont="0" applyFill="0" applyBorder="0" applyProtection="0">
      <alignment vertical="top"/>
    </xf>
    <xf numFmtId="0" fontId="7" fillId="0" borderId="0"/>
    <xf numFmtId="165" fontId="4" fillId="0" borderId="0" applyFont="0" applyFill="0" applyBorder="0" applyProtection="0">
      <alignment vertical="top"/>
    </xf>
    <xf numFmtId="164" fontId="7" fillId="0" borderId="0" applyFont="0" applyFill="0" applyBorder="0" applyAlignment="0" applyProtection="0"/>
    <xf numFmtId="172" fontId="7" fillId="0" borderId="0" applyFont="0" applyFill="0" applyBorder="0" applyProtection="0">
      <alignment vertical="top"/>
    </xf>
    <xf numFmtId="0" fontId="31" fillId="27" borderId="0" applyNumberFormat="0" applyBorder="0" applyAlignment="0" applyProtection="0"/>
    <xf numFmtId="172" fontId="7" fillId="0" borderId="0" applyFont="0" applyFill="0" applyBorder="0" applyProtection="0">
      <alignment vertical="top"/>
    </xf>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168" fontId="7" fillId="24" borderId="0" applyNumberFormat="0" applyFont="0" applyBorder="0" applyAlignment="0" applyProtection="0"/>
    <xf numFmtId="0" fontId="7" fillId="25" borderId="0" applyNumberFormat="0" applyFont="0" applyBorder="0" applyAlignment="0" applyProtection="0"/>
    <xf numFmtId="169" fontId="23" fillId="0" borderId="0" applyNumberFormat="0" applyProtection="0">
      <alignment vertical="top"/>
    </xf>
    <xf numFmtId="169" fontId="36" fillId="0" borderId="0" applyNumberFormat="0" applyProtection="0">
      <alignment vertical="top"/>
    </xf>
    <xf numFmtId="169" fontId="21" fillId="26" borderId="0" applyNumberFormat="0" applyProtection="0">
      <alignment vertical="top"/>
    </xf>
    <xf numFmtId="9" fontId="7" fillId="0" borderId="0" applyFont="0" applyFill="0" applyBorder="0" applyAlignment="0" applyProtection="0"/>
    <xf numFmtId="0" fontId="37" fillId="0" borderId="0" applyNumberFormat="0" applyFill="0" applyBorder="0" applyProtection="0">
      <alignment vertical="top"/>
    </xf>
    <xf numFmtId="173" fontId="21" fillId="0" borderId="0" applyFont="0" applyFill="0" applyBorder="0" applyProtection="0">
      <alignment vertical="top"/>
    </xf>
    <xf numFmtId="174" fontId="21" fillId="0" borderId="0" applyFont="0" applyFill="0" applyBorder="0" applyProtection="0">
      <alignment vertical="top"/>
    </xf>
    <xf numFmtId="171" fontId="21" fillId="0" borderId="0" applyFont="0" applyFill="0" applyBorder="0" applyProtection="0">
      <alignment vertical="top"/>
    </xf>
    <xf numFmtId="0" fontId="32" fillId="0" borderId="0"/>
    <xf numFmtId="0" fontId="33" fillId="0" borderId="0"/>
    <xf numFmtId="0" fontId="34" fillId="0" borderId="0"/>
    <xf numFmtId="170" fontId="27" fillId="0" borderId="0" applyNumberFormat="0" applyFill="0" applyBorder="0" applyProtection="0">
      <alignment vertical="top"/>
    </xf>
    <xf numFmtId="0" fontId="35" fillId="0" borderId="0" applyNumberFormat="0" applyFill="0" applyBorder="0" applyProtection="0">
      <alignment vertical="top"/>
    </xf>
    <xf numFmtId="0" fontId="21" fillId="0" borderId="0" applyNumberFormat="0" applyFill="0" applyBorder="0" applyProtection="0">
      <alignment horizontal="right" vertical="top"/>
    </xf>
    <xf numFmtId="0" fontId="21" fillId="0" borderId="0"/>
    <xf numFmtId="0" fontId="39" fillId="0" borderId="0" applyNumberFormat="0" applyFill="0" applyBorder="0" applyAlignment="0" applyProtection="0"/>
    <xf numFmtId="175" fontId="4" fillId="0" borderId="0" applyFont="0" applyFill="0" applyBorder="0" applyProtection="0">
      <alignment vertical="top"/>
    </xf>
    <xf numFmtId="0" fontId="19" fillId="0" borderId="0" applyNumberFormat="0" applyFill="0" applyBorder="0" applyAlignment="0" applyProtection="0"/>
    <xf numFmtId="0" fontId="11" fillId="9" borderId="0" applyNumberFormat="0" applyBorder="0" applyAlignment="0" applyProtection="0"/>
    <xf numFmtId="165" fontId="7" fillId="0" borderId="0" applyFont="0" applyFill="0" applyBorder="0" applyProtection="0">
      <alignment vertical="top"/>
    </xf>
    <xf numFmtId="0" fontId="6" fillId="11" borderId="0" applyNumberFormat="0" applyBorder="0" applyAlignment="0" applyProtection="0"/>
    <xf numFmtId="0" fontId="8" fillId="0" borderId="0" applyNumberFormat="0" applyFill="0" applyAlignment="0" applyProtection="0"/>
    <xf numFmtId="0" fontId="9" fillId="0" borderId="0" applyNumberFormat="0" applyFill="0" applyAlignment="0" applyProtection="0"/>
    <xf numFmtId="0" fontId="10" fillId="0" borderId="0" applyNumberFormat="0" applyBorder="0" applyAlignment="0" applyProtection="0"/>
    <xf numFmtId="0" fontId="7" fillId="0" borderId="0" applyNumberFormat="0" applyBorder="0" applyAlignment="0" applyProtection="0"/>
    <xf numFmtId="0" fontId="16" fillId="0" borderId="0" applyNumberFormat="0" applyBorder="0" applyAlignment="0" applyProtection="0"/>
    <xf numFmtId="0" fontId="7" fillId="6" borderId="0" applyNumberFormat="0" applyAlignment="0" applyProtection="0"/>
    <xf numFmtId="0" fontId="3" fillId="0" borderId="0"/>
    <xf numFmtId="0" fontId="7" fillId="0" borderId="0"/>
    <xf numFmtId="165" fontId="2" fillId="0" borderId="0" applyFont="0" applyFill="0" applyBorder="0" applyProtection="0">
      <alignment vertical="top"/>
    </xf>
    <xf numFmtId="165" fontId="1" fillId="0" borderId="0" applyFont="0" applyFill="0" applyBorder="0" applyProtection="0">
      <alignment vertical="top"/>
    </xf>
    <xf numFmtId="0" fontId="67" fillId="0" borderId="0"/>
  </cellStyleXfs>
  <cellXfs count="221">
    <xf numFmtId="0" fontId="0" fillId="0" borderId="0" xfId="0"/>
    <xf numFmtId="0" fontId="6" fillId="11" borderId="0" xfId="1"/>
    <xf numFmtId="0" fontId="14" fillId="10" borderId="0" xfId="22"/>
    <xf numFmtId="0" fontId="11" fillId="11" borderId="0" xfId="25"/>
    <xf numFmtId="0" fontId="0" fillId="12" borderId="0" xfId="0" applyFill="1"/>
    <xf numFmtId="0" fontId="8" fillId="12" borderId="0" xfId="2" applyFill="1"/>
    <xf numFmtId="0" fontId="16" fillId="12" borderId="0" xfId="16" applyFill="1"/>
    <xf numFmtId="0" fontId="11" fillId="14" borderId="0" xfId="25" applyFill="1"/>
    <xf numFmtId="0" fontId="20" fillId="12" borderId="0" xfId="0" applyFont="1" applyFill="1"/>
    <xf numFmtId="0" fontId="25" fillId="12" borderId="0" xfId="0" applyFont="1" applyFill="1"/>
    <xf numFmtId="0" fontId="26" fillId="12" borderId="0" xfId="0" applyFont="1" applyFill="1"/>
    <xf numFmtId="2" fontId="25" fillId="12" borderId="0" xfId="0" applyNumberFormat="1" applyFont="1" applyFill="1"/>
    <xf numFmtId="2" fontId="0" fillId="12" borderId="0" xfId="0" applyNumberFormat="1" applyFill="1"/>
    <xf numFmtId="0" fontId="21" fillId="12" borderId="0" xfId="0" applyFont="1" applyFill="1"/>
    <xf numFmtId="2" fontId="21" fillId="12" borderId="0" xfId="0" applyNumberFormat="1" applyFont="1" applyFill="1"/>
    <xf numFmtId="10" fontId="25" fillId="12" borderId="0" xfId="27" applyNumberFormat="1" applyFont="1" applyFill="1"/>
    <xf numFmtId="10" fontId="21" fillId="12" borderId="0" xfId="27" applyNumberFormat="1" applyFont="1" applyFill="1"/>
    <xf numFmtId="166" fontId="21" fillId="12" borderId="0" xfId="0" applyNumberFormat="1" applyFont="1" applyFill="1"/>
    <xf numFmtId="167" fontId="21" fillId="12" borderId="0" xfId="27" applyNumberFormat="1" applyFont="1" applyFill="1"/>
    <xf numFmtId="0" fontId="24" fillId="12" borderId="0" xfId="0" applyFont="1" applyFill="1"/>
    <xf numFmtId="10" fontId="24" fillId="12" borderId="0" xfId="0" applyNumberFormat="1" applyFont="1" applyFill="1"/>
    <xf numFmtId="166" fontId="25" fillId="12" borderId="0" xfId="0" applyNumberFormat="1" applyFont="1" applyFill="1"/>
    <xf numFmtId="10" fontId="0" fillId="12" borderId="0" xfId="27" applyNumberFormat="1" applyFont="1" applyFill="1"/>
    <xf numFmtId="166" fontId="0" fillId="12" borderId="0" xfId="0" applyNumberFormat="1" applyFill="1"/>
    <xf numFmtId="10" fontId="24" fillId="12" borderId="0" xfId="27" applyNumberFormat="1" applyFont="1" applyFill="1"/>
    <xf numFmtId="0" fontId="28" fillId="12" borderId="0" xfId="0" applyFont="1" applyFill="1"/>
    <xf numFmtId="0" fontId="27" fillId="12" borderId="0" xfId="0" applyFont="1" applyFill="1"/>
    <xf numFmtId="0" fontId="29" fillId="12" borderId="0" xfId="0" applyFont="1" applyFill="1"/>
    <xf numFmtId="0" fontId="30" fillId="12" borderId="0" xfId="0" applyFont="1" applyFill="1"/>
    <xf numFmtId="0" fontId="22" fillId="12" borderId="0" xfId="0" applyFont="1" applyFill="1" applyAlignment="1">
      <alignment horizontal="left"/>
    </xf>
    <xf numFmtId="0" fontId="20" fillId="12" borderId="0" xfId="0" applyFont="1" applyFill="1" applyAlignment="1">
      <alignment horizontal="center"/>
    </xf>
    <xf numFmtId="0" fontId="22" fillId="12" borderId="0" xfId="0" applyFont="1" applyFill="1" applyAlignment="1">
      <alignment horizontal="center"/>
    </xf>
    <xf numFmtId="0" fontId="21" fillId="12" borderId="0" xfId="0" applyFont="1" applyFill="1" applyAlignment="1">
      <alignment horizontal="left"/>
    </xf>
    <xf numFmtId="0" fontId="21" fillId="12" borderId="0" xfId="0" applyFont="1" applyFill="1" applyAlignment="1">
      <alignment horizontal="center"/>
    </xf>
    <xf numFmtId="0" fontId="0" fillId="12" borderId="0" xfId="0" applyFill="1" applyAlignment="1">
      <alignment horizontal="left"/>
    </xf>
    <xf numFmtId="0" fontId="24" fillId="12" borderId="0" xfId="16" applyFont="1" applyFill="1"/>
    <xf numFmtId="166" fontId="24" fillId="12" borderId="0" xfId="0" applyNumberFormat="1" applyFont="1" applyFill="1"/>
    <xf numFmtId="0" fontId="21" fillId="12" borderId="0" xfId="16" applyFont="1" applyFill="1"/>
    <xf numFmtId="0" fontId="0" fillId="12" borderId="0" xfId="28" applyNumberFormat="1" applyFont="1" applyFill="1" applyAlignment="1">
      <alignment vertical="top" wrapText="1"/>
    </xf>
    <xf numFmtId="165" fontId="40" fillId="7" borderId="3" xfId="30" applyFont="1" applyFill="1" applyBorder="1" applyAlignment="1">
      <alignment horizontal="left" vertical="center" wrapText="1"/>
    </xf>
    <xf numFmtId="165" fontId="38" fillId="28" borderId="3" xfId="30" applyFont="1" applyFill="1" applyBorder="1" applyAlignment="1">
      <alignment horizontal="left" vertical="center" wrapText="1"/>
    </xf>
    <xf numFmtId="0" fontId="41" fillId="12" borderId="0" xfId="2" applyFont="1" applyFill="1"/>
    <xf numFmtId="0" fontId="41" fillId="12" borderId="0" xfId="0" applyFont="1" applyFill="1"/>
    <xf numFmtId="0" fontId="41" fillId="12" borderId="0" xfId="3" applyFont="1" applyFill="1"/>
    <xf numFmtId="2" fontId="24" fillId="12" borderId="0" xfId="0" applyNumberFormat="1" applyFont="1" applyFill="1"/>
    <xf numFmtId="0" fontId="42" fillId="29" borderId="4" xfId="0" applyFont="1" applyFill="1" applyBorder="1" applyAlignment="1">
      <alignment vertical="top"/>
    </xf>
    <xf numFmtId="0" fontId="43" fillId="29" borderId="4" xfId="0" applyFont="1" applyFill="1" applyBorder="1" applyAlignment="1">
      <alignment vertical="top"/>
    </xf>
    <xf numFmtId="0" fontId="0" fillId="0" borderId="4" xfId="0" applyBorder="1"/>
    <xf numFmtId="0" fontId="43" fillId="29" borderId="0" xfId="0" applyFont="1" applyFill="1" applyAlignment="1">
      <alignment vertical="top"/>
    </xf>
    <xf numFmtId="0" fontId="44" fillId="29" borderId="0" xfId="0" applyFont="1" applyFill="1" applyAlignment="1">
      <alignment vertical="top"/>
    </xf>
    <xf numFmtId="0" fontId="21" fillId="7" borderId="5" xfId="0" applyFont="1" applyFill="1" applyBorder="1" applyAlignment="1">
      <alignment horizontal="center" vertical="center"/>
    </xf>
    <xf numFmtId="0" fontId="21" fillId="7" borderId="6"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6" xfId="0" applyFont="1" applyFill="1" applyBorder="1" applyAlignment="1">
      <alignment horizontal="center" vertical="center" wrapText="1"/>
    </xf>
    <xf numFmtId="0" fontId="46" fillId="30" borderId="2" xfId="0" applyFont="1" applyFill="1" applyBorder="1" applyAlignment="1">
      <alignment vertical="top" wrapText="1"/>
    </xf>
    <xf numFmtId="0" fontId="21" fillId="30" borderId="6" xfId="0" applyFont="1" applyFill="1" applyBorder="1" applyAlignment="1">
      <alignment vertical="top" wrapText="1"/>
    </xf>
    <xf numFmtId="0" fontId="48" fillId="31" borderId="9" xfId="0" applyFont="1" applyFill="1" applyBorder="1" applyAlignment="1">
      <alignment vertical="top" wrapText="1"/>
    </xf>
    <xf numFmtId="0" fontId="21" fillId="0" borderId="0" xfId="0" applyFont="1" applyAlignment="1">
      <alignment vertical="top"/>
    </xf>
    <xf numFmtId="0" fontId="21" fillId="34" borderId="0" xfId="0" applyFont="1" applyFill="1" applyAlignment="1">
      <alignment horizontal="left" vertical="top"/>
    </xf>
    <xf numFmtId="0" fontId="21" fillId="30" borderId="0" xfId="0" applyFont="1" applyFill="1" applyAlignment="1">
      <alignment horizontal="left" vertical="top"/>
    </xf>
    <xf numFmtId="0" fontId="21" fillId="35" borderId="0" xfId="0" applyFont="1" applyFill="1" applyAlignment="1">
      <alignment horizontal="left" vertical="top"/>
    </xf>
    <xf numFmtId="0" fontId="21" fillId="26" borderId="0" xfId="0" applyFont="1" applyFill="1" applyAlignment="1">
      <alignment horizontal="left" vertical="top"/>
    </xf>
    <xf numFmtId="0" fontId="21" fillId="24" borderId="0" xfId="0" applyFont="1" applyFill="1" applyAlignment="1">
      <alignment horizontal="left" vertical="top"/>
    </xf>
    <xf numFmtId="0" fontId="21" fillId="36" borderId="0" xfId="0" applyFont="1" applyFill="1" applyAlignment="1">
      <alignment vertical="top"/>
    </xf>
    <xf numFmtId="0" fontId="21" fillId="34" borderId="0" xfId="0" applyFont="1" applyFill="1" applyAlignment="1">
      <alignment vertical="top"/>
    </xf>
    <xf numFmtId="0" fontId="21" fillId="30" borderId="0" xfId="0" applyFont="1" applyFill="1" applyAlignment="1">
      <alignment vertical="top"/>
    </xf>
    <xf numFmtId="0" fontId="23" fillId="30" borderId="0" xfId="0" applyFont="1" applyFill="1" applyAlignment="1">
      <alignment vertical="top"/>
    </xf>
    <xf numFmtId="0" fontId="21" fillId="35" borderId="0" xfId="0" applyFont="1" applyFill="1" applyAlignment="1">
      <alignment vertical="top"/>
    </xf>
    <xf numFmtId="0" fontId="21" fillId="26" borderId="0" xfId="0" applyFont="1" applyFill="1" applyAlignment="1">
      <alignment vertical="top"/>
    </xf>
    <xf numFmtId="0" fontId="21" fillId="37" borderId="0" xfId="0" applyFont="1" applyFill="1" applyAlignment="1">
      <alignment vertical="top"/>
    </xf>
    <xf numFmtId="0" fontId="21" fillId="24" borderId="0" xfId="0" applyFont="1" applyFill="1" applyAlignment="1">
      <alignment vertical="top"/>
    </xf>
    <xf numFmtId="0" fontId="21" fillId="38" borderId="0" xfId="0" applyFont="1" applyFill="1" applyAlignment="1">
      <alignment vertical="top"/>
    </xf>
    <xf numFmtId="0" fontId="21" fillId="39" borderId="0" xfId="0" applyFont="1" applyFill="1" applyAlignment="1">
      <alignment vertical="top"/>
    </xf>
    <xf numFmtId="0" fontId="21" fillId="32" borderId="0" xfId="0" applyFont="1" applyFill="1" applyAlignment="1">
      <alignment vertical="top"/>
    </xf>
    <xf numFmtId="0" fontId="21" fillId="40" borderId="0" xfId="0" applyFont="1" applyFill="1" applyAlignment="1">
      <alignment vertical="top"/>
    </xf>
    <xf numFmtId="0" fontId="7" fillId="0" borderId="0" xfId="74"/>
    <xf numFmtId="0" fontId="48" fillId="33" borderId="2" xfId="74" applyFont="1" applyFill="1" applyBorder="1"/>
    <xf numFmtId="0" fontId="0" fillId="41" borderId="2" xfId="74" applyFont="1" applyFill="1" applyBorder="1"/>
    <xf numFmtId="0" fontId="50" fillId="12" borderId="0" xfId="0" applyFont="1" applyFill="1"/>
    <xf numFmtId="166" fontId="50" fillId="12" borderId="0" xfId="0" applyNumberFormat="1" applyFont="1" applyFill="1"/>
    <xf numFmtId="2" fontId="7" fillId="42" borderId="0" xfId="9" applyNumberFormat="1" applyFill="1"/>
    <xf numFmtId="2" fontId="21" fillId="42" borderId="0" xfId="9" applyNumberFormat="1" applyFont="1" applyFill="1"/>
    <xf numFmtId="10" fontId="21" fillId="43" borderId="0" xfId="27" applyNumberFormat="1" applyFont="1" applyFill="1"/>
    <xf numFmtId="0" fontId="21" fillId="43" borderId="0" xfId="9" applyFont="1" applyFill="1"/>
    <xf numFmtId="0" fontId="21" fillId="44" borderId="0" xfId="0" applyFont="1" applyFill="1" applyAlignment="1">
      <alignment vertical="top"/>
    </xf>
    <xf numFmtId="165" fontId="7" fillId="12" borderId="0" xfId="65" applyFill="1" applyAlignment="1" applyProtection="1">
      <protection locked="0"/>
    </xf>
    <xf numFmtId="165" fontId="27" fillId="12" borderId="0" xfId="65" applyFont="1" applyFill="1" applyAlignment="1" applyProtection="1">
      <alignment horizontal="center" vertical="top"/>
      <protection locked="0"/>
    </xf>
    <xf numFmtId="165" fontId="27" fillId="12" borderId="0" xfId="65" applyFont="1" applyFill="1" applyAlignment="1" applyProtection="1">
      <alignment vertical="top" wrapText="1"/>
      <protection locked="0"/>
    </xf>
    <xf numFmtId="0" fontId="27" fillId="12" borderId="0" xfId="0" applyFont="1" applyFill="1" applyAlignment="1">
      <alignment vertical="top"/>
    </xf>
    <xf numFmtId="0" fontId="35" fillId="12" borderId="0" xfId="0" applyFont="1" applyFill="1" applyAlignment="1">
      <alignment vertical="top"/>
    </xf>
    <xf numFmtId="0" fontId="21" fillId="12" borderId="0" xfId="0" applyFont="1" applyFill="1" applyAlignment="1">
      <alignment horizontal="right" vertical="top"/>
    </xf>
    <xf numFmtId="0" fontId="21" fillId="12" borderId="0" xfId="0" applyFont="1" applyFill="1" applyAlignment="1">
      <alignment vertical="top"/>
    </xf>
    <xf numFmtId="0" fontId="21" fillId="12" borderId="0" xfId="0" applyFont="1" applyFill="1" applyAlignment="1">
      <alignment horizontal="left" vertical="top"/>
    </xf>
    <xf numFmtId="0" fontId="23" fillId="12" borderId="0" xfId="0" applyFont="1" applyFill="1" applyAlignment="1">
      <alignment vertical="top"/>
    </xf>
    <xf numFmtId="0" fontId="36" fillId="12" borderId="0" xfId="0" applyFont="1" applyFill="1" applyAlignment="1">
      <alignment vertical="top"/>
    </xf>
    <xf numFmtId="0" fontId="7" fillId="12" borderId="0" xfId="74" applyFill="1"/>
    <xf numFmtId="0" fontId="20" fillId="12" borderId="0" xfId="74" applyFont="1" applyFill="1"/>
    <xf numFmtId="0" fontId="49" fillId="12" borderId="0" xfId="74" applyFont="1" applyFill="1"/>
    <xf numFmtId="0" fontId="7" fillId="12" borderId="10" xfId="74" applyFill="1" applyBorder="1"/>
    <xf numFmtId="0" fontId="7" fillId="12" borderId="11" xfId="74" applyFill="1" applyBorder="1"/>
    <xf numFmtId="0" fontId="7" fillId="12" borderId="12" xfId="74" applyFill="1" applyBorder="1"/>
    <xf numFmtId="0" fontId="7" fillId="12" borderId="13" xfId="74" applyFill="1" applyBorder="1"/>
    <xf numFmtId="165" fontId="31" fillId="11" borderId="2" xfId="74" applyNumberFormat="1" applyFont="1" applyFill="1" applyBorder="1" applyAlignment="1">
      <alignment horizontal="left" vertical="center"/>
    </xf>
    <xf numFmtId="0" fontId="7" fillId="12" borderId="14" xfId="74" applyFill="1" applyBorder="1"/>
    <xf numFmtId="165" fontId="48" fillId="45" borderId="2" xfId="74" applyNumberFormat="1" applyFont="1" applyFill="1" applyBorder="1"/>
    <xf numFmtId="0" fontId="48" fillId="46" borderId="2" xfId="74" applyFont="1" applyFill="1" applyBorder="1"/>
    <xf numFmtId="0" fontId="7" fillId="12" borderId="0" xfId="74" applyFill="1" applyAlignment="1">
      <alignment horizontal="left"/>
    </xf>
    <xf numFmtId="0" fontId="7" fillId="12" borderId="15" xfId="74" applyFill="1" applyBorder="1"/>
    <xf numFmtId="0" fontId="7" fillId="12" borderId="16" xfId="74" applyFill="1" applyBorder="1"/>
    <xf numFmtId="0" fontId="7" fillId="12" borderId="17" xfId="74" applyFill="1" applyBorder="1"/>
    <xf numFmtId="0" fontId="23" fillId="12" borderId="16" xfId="74" applyFont="1" applyFill="1" applyBorder="1" applyAlignment="1">
      <alignment vertical="top"/>
    </xf>
    <xf numFmtId="0" fontId="7" fillId="12" borderId="0" xfId="74" applyFill="1" applyAlignment="1">
      <alignment horizontal="left" vertical="top"/>
    </xf>
    <xf numFmtId="0" fontId="7" fillId="12" borderId="0" xfId="0" applyFont="1" applyFill="1"/>
    <xf numFmtId="165" fontId="19" fillId="12" borderId="0" xfId="26" applyNumberFormat="1" applyFill="1" applyAlignment="1" applyProtection="1">
      <alignment vertical="top"/>
    </xf>
    <xf numFmtId="0" fontId="45" fillId="12" borderId="0" xfId="0" applyFont="1" applyFill="1" applyAlignment="1">
      <alignment vertical="top"/>
    </xf>
    <xf numFmtId="0" fontId="46" fillId="12" borderId="0" xfId="0" applyFont="1" applyFill="1" applyAlignment="1">
      <alignment vertical="top"/>
    </xf>
    <xf numFmtId="0" fontId="47" fillId="12" borderId="0" xfId="0" applyFont="1" applyFill="1" applyAlignment="1">
      <alignment vertical="top"/>
    </xf>
    <xf numFmtId="178" fontId="7" fillId="0" borderId="0" xfId="53" applyNumberFormat="1" applyFont="1" applyFill="1">
      <alignment vertical="top"/>
    </xf>
    <xf numFmtId="0" fontId="52" fillId="0" borderId="0" xfId="0" applyFont="1"/>
    <xf numFmtId="165" fontId="52" fillId="0" borderId="0" xfId="75" applyFont="1" applyFill="1">
      <alignment vertical="top"/>
    </xf>
    <xf numFmtId="165" fontId="52" fillId="0" borderId="0" xfId="75" applyFont="1">
      <alignment vertical="top"/>
    </xf>
    <xf numFmtId="177" fontId="52" fillId="0" borderId="0" xfId="0" applyNumberFormat="1" applyFont="1"/>
    <xf numFmtId="177" fontId="0" fillId="0" borderId="0" xfId="0" applyNumberFormat="1"/>
    <xf numFmtId="0" fontId="0" fillId="12" borderId="2" xfId="0" applyFill="1" applyBorder="1"/>
    <xf numFmtId="176" fontId="44" fillId="29" borderId="0" xfId="0" applyNumberFormat="1" applyFont="1" applyFill="1" applyAlignment="1">
      <alignment horizontal="left" vertical="top"/>
    </xf>
    <xf numFmtId="15" fontId="44" fillId="29" borderId="0" xfId="51" applyNumberFormat="1" applyFont="1" applyFill="1" applyAlignment="1">
      <alignment horizontal="left" vertical="top"/>
    </xf>
    <xf numFmtId="0" fontId="0" fillId="0" borderId="2" xfId="0" applyBorder="1"/>
    <xf numFmtId="0" fontId="0" fillId="0" borderId="2" xfId="0" applyBorder="1" applyAlignment="1">
      <alignment wrapText="1"/>
    </xf>
    <xf numFmtId="0" fontId="21" fillId="31" borderId="9" xfId="0" applyFont="1" applyFill="1" applyBorder="1" applyAlignment="1">
      <alignment vertical="top" wrapText="1"/>
    </xf>
    <xf numFmtId="0" fontId="21" fillId="12" borderId="0" xfId="0" applyFont="1" applyFill="1" applyAlignment="1">
      <alignment vertical="top" wrapText="1"/>
    </xf>
    <xf numFmtId="0" fontId="21" fillId="31" borderId="2" xfId="0" applyFont="1" applyFill="1" applyBorder="1" applyAlignment="1">
      <alignment vertical="top" wrapText="1"/>
    </xf>
    <xf numFmtId="0" fontId="48" fillId="31" borderId="2" xfId="0" applyFont="1" applyFill="1" applyBorder="1" applyAlignment="1">
      <alignment vertical="top" wrapText="1"/>
    </xf>
    <xf numFmtId="0" fontId="53" fillId="14" borderId="0" xfId="76" applyNumberFormat="1" applyFont="1" applyFill="1">
      <alignment vertical="top"/>
    </xf>
    <xf numFmtId="0" fontId="54" fillId="14" borderId="0" xfId="58" applyNumberFormat="1" applyFont="1" applyFill="1">
      <alignment vertical="top"/>
    </xf>
    <xf numFmtId="0" fontId="55" fillId="14" borderId="0" xfId="59" applyNumberFormat="1" applyFont="1" applyFill="1">
      <alignment horizontal="right" vertical="top"/>
    </xf>
    <xf numFmtId="0" fontId="56" fillId="14" borderId="0" xfId="76" applyNumberFormat="1" applyFont="1" applyFill="1">
      <alignment vertical="top"/>
    </xf>
    <xf numFmtId="0" fontId="53" fillId="14" borderId="0" xfId="76" applyNumberFormat="1" applyFont="1" applyFill="1" applyAlignment="1">
      <alignment horizontal="right" vertical="center"/>
    </xf>
    <xf numFmtId="165" fontId="56" fillId="14" borderId="0" xfId="76" applyFont="1" applyFill="1">
      <alignment vertical="top"/>
    </xf>
    <xf numFmtId="165" fontId="56" fillId="12" borderId="0" xfId="76" applyFont="1" applyFill="1">
      <alignment vertical="top"/>
    </xf>
    <xf numFmtId="0" fontId="27" fillId="12" borderId="0" xfId="52" applyNumberFormat="1" applyFont="1" applyFill="1" applyBorder="1">
      <alignment vertical="top"/>
    </xf>
    <xf numFmtId="0" fontId="35" fillId="12" borderId="0" xfId="58" applyNumberFormat="1" applyFill="1" applyBorder="1">
      <alignment vertical="top"/>
    </xf>
    <xf numFmtId="0" fontId="37" fillId="12" borderId="0" xfId="58" applyNumberFormat="1" applyFont="1" applyFill="1" applyBorder="1">
      <alignment vertical="top"/>
    </xf>
    <xf numFmtId="0" fontId="21" fillId="12" borderId="0" xfId="59" applyNumberFormat="1" applyFill="1" applyBorder="1">
      <alignment horizontal="right" vertical="top"/>
    </xf>
    <xf numFmtId="0" fontId="21" fillId="12" borderId="0" xfId="52" applyNumberFormat="1" applyFont="1" applyFill="1" applyBorder="1">
      <alignment vertical="top"/>
    </xf>
    <xf numFmtId="174" fontId="21" fillId="12" borderId="0" xfId="52" applyFont="1" applyFill="1" applyBorder="1">
      <alignment vertical="top"/>
    </xf>
    <xf numFmtId="174" fontId="27" fillId="12" borderId="0" xfId="52" applyFont="1" applyFill="1" applyBorder="1">
      <alignment vertical="top"/>
    </xf>
    <xf numFmtId="0" fontId="27" fillId="12" borderId="0" xfId="76" applyNumberFormat="1" applyFont="1" applyFill="1" applyBorder="1">
      <alignment vertical="top"/>
    </xf>
    <xf numFmtId="174" fontId="21" fillId="0" borderId="0" xfId="52" applyFont="1" applyBorder="1">
      <alignment vertical="top"/>
    </xf>
    <xf numFmtId="165" fontId="27" fillId="12" borderId="0" xfId="76" applyFont="1" applyFill="1" applyBorder="1">
      <alignment vertical="top"/>
    </xf>
    <xf numFmtId="0" fontId="21" fillId="12" borderId="0" xfId="76" applyNumberFormat="1" applyFont="1" applyFill="1" applyBorder="1">
      <alignment vertical="top"/>
    </xf>
    <xf numFmtId="1" fontId="21" fillId="12" borderId="0" xfId="76" applyNumberFormat="1" applyFont="1" applyFill="1" applyBorder="1">
      <alignment vertical="top"/>
    </xf>
    <xf numFmtId="1" fontId="7" fillId="47" borderId="0" xfId="76" applyNumberFormat="1" applyFont="1" applyFill="1">
      <alignment vertical="top"/>
    </xf>
    <xf numFmtId="1" fontId="27" fillId="12" borderId="0" xfId="76" applyNumberFormat="1" applyFont="1" applyFill="1" applyBorder="1">
      <alignment vertical="top"/>
    </xf>
    <xf numFmtId="180" fontId="21" fillId="12" borderId="0" xfId="76" applyNumberFormat="1" applyFont="1" applyFill="1" applyBorder="1">
      <alignment vertical="top"/>
    </xf>
    <xf numFmtId="180" fontId="27" fillId="12" borderId="0" xfId="76" applyNumberFormat="1" applyFont="1" applyFill="1" applyBorder="1">
      <alignment vertical="top"/>
    </xf>
    <xf numFmtId="178" fontId="27" fillId="12" borderId="0" xfId="53" applyNumberFormat="1" applyFont="1" applyFill="1" applyBorder="1">
      <alignment vertical="top"/>
    </xf>
    <xf numFmtId="178" fontId="35" fillId="12" borderId="0" xfId="53" applyNumberFormat="1" applyFont="1" applyFill="1" applyBorder="1">
      <alignment vertical="top"/>
    </xf>
    <xf numFmtId="178" fontId="37" fillId="12" borderId="0" xfId="53" applyNumberFormat="1" applyFont="1" applyFill="1" applyBorder="1">
      <alignment vertical="top"/>
    </xf>
    <xf numFmtId="178" fontId="21" fillId="12" borderId="0" xfId="53" applyNumberFormat="1" applyFill="1" applyBorder="1">
      <alignment vertical="top"/>
    </xf>
    <xf numFmtId="178" fontId="21" fillId="12" borderId="0" xfId="53" applyNumberFormat="1" applyFont="1" applyFill="1" applyBorder="1">
      <alignment vertical="top"/>
    </xf>
    <xf numFmtId="178" fontId="21" fillId="0" borderId="0" xfId="53" applyNumberFormat="1" applyFont="1" applyFill="1">
      <alignment vertical="top"/>
    </xf>
    <xf numFmtId="178" fontId="27" fillId="0" borderId="0" xfId="53" applyNumberFormat="1" applyFont="1" applyFill="1">
      <alignment vertical="top"/>
    </xf>
    <xf numFmtId="172" fontId="21" fillId="0" borderId="0" xfId="32" applyFont="1" applyFill="1">
      <alignment vertical="top"/>
    </xf>
    <xf numFmtId="166" fontId="21" fillId="0" borderId="0" xfId="76" applyNumberFormat="1" applyFont="1" applyFill="1" applyAlignment="1">
      <alignment horizontal="right" vertical="top"/>
    </xf>
    <xf numFmtId="1" fontId="21" fillId="0" borderId="0" xfId="76" applyNumberFormat="1" applyFont="1" applyFill="1" applyAlignment="1">
      <alignment horizontal="right" vertical="top"/>
    </xf>
    <xf numFmtId="178" fontId="35" fillId="12" borderId="0" xfId="53" applyNumberFormat="1" applyFont="1" applyFill="1">
      <alignment vertical="top"/>
    </xf>
    <xf numFmtId="178" fontId="57" fillId="12" borderId="0" xfId="53" applyNumberFormat="1" applyFont="1" applyFill="1">
      <alignment vertical="top"/>
    </xf>
    <xf numFmtId="178" fontId="49" fillId="12" borderId="0" xfId="53" applyNumberFormat="1" applyFont="1" applyFill="1">
      <alignment vertical="top"/>
    </xf>
    <xf numFmtId="178" fontId="58" fillId="12" borderId="0" xfId="53" applyNumberFormat="1" applyFont="1" applyFill="1">
      <alignment vertical="top"/>
    </xf>
    <xf numFmtId="178" fontId="21" fillId="12" borderId="0" xfId="53" applyNumberFormat="1" applyFont="1" applyFill="1">
      <alignment vertical="top"/>
    </xf>
    <xf numFmtId="178" fontId="0" fillId="12" borderId="0" xfId="53" applyNumberFormat="1" applyFont="1" applyFill="1">
      <alignment vertical="top"/>
    </xf>
    <xf numFmtId="178" fontId="21" fillId="13" borderId="0" xfId="53" applyNumberFormat="1" applyFont="1" applyFill="1">
      <alignment vertical="top"/>
    </xf>
    <xf numFmtId="166" fontId="21" fillId="0" borderId="0" xfId="76" applyNumberFormat="1" applyFont="1" applyFill="1">
      <alignment vertical="top"/>
    </xf>
    <xf numFmtId="1" fontId="21" fillId="0" borderId="0" xfId="32" applyNumberFormat="1" applyFont="1" applyFill="1">
      <alignment vertical="top"/>
    </xf>
    <xf numFmtId="181" fontId="21" fillId="0" borderId="0" xfId="53" applyNumberFormat="1" applyFont="1" applyFill="1">
      <alignment vertical="top"/>
    </xf>
    <xf numFmtId="178" fontId="59" fillId="0" borderId="0" xfId="53" applyNumberFormat="1" applyFont="1" applyFill="1">
      <alignment vertical="top"/>
    </xf>
    <xf numFmtId="178" fontId="60" fillId="0" borderId="0" xfId="53" applyNumberFormat="1" applyFont="1" applyFill="1">
      <alignment vertical="top"/>
    </xf>
    <xf numFmtId="172" fontId="59" fillId="0" borderId="0" xfId="32" applyFont="1" applyFill="1">
      <alignment vertical="top"/>
    </xf>
    <xf numFmtId="166" fontId="59" fillId="0" borderId="0" xfId="76" applyNumberFormat="1" applyFont="1" applyFill="1">
      <alignment vertical="top"/>
    </xf>
    <xf numFmtId="171" fontId="59" fillId="0" borderId="0" xfId="53" applyFont="1" applyFill="1">
      <alignment vertical="top"/>
    </xf>
    <xf numFmtId="0" fontId="35" fillId="12" borderId="0" xfId="58" applyNumberFormat="1" applyFill="1">
      <alignment vertical="top"/>
    </xf>
    <xf numFmtId="0" fontId="37" fillId="12" borderId="0" xfId="58" applyNumberFormat="1" applyFont="1" applyFill="1">
      <alignment vertical="top"/>
    </xf>
    <xf numFmtId="0" fontId="21" fillId="12" borderId="0" xfId="59" applyNumberFormat="1" applyFill="1">
      <alignment horizontal="right" vertical="top"/>
    </xf>
    <xf numFmtId="0" fontId="21" fillId="12" borderId="0" xfId="76" applyNumberFormat="1" applyFont="1" applyFill="1">
      <alignment vertical="top"/>
    </xf>
    <xf numFmtId="165" fontId="21" fillId="12" borderId="0" xfId="76" applyFont="1" applyFill="1">
      <alignment vertical="top"/>
    </xf>
    <xf numFmtId="182" fontId="25" fillId="12" borderId="0" xfId="0" applyNumberFormat="1" applyFont="1" applyFill="1"/>
    <xf numFmtId="0" fontId="25" fillId="12" borderId="0" xfId="16" applyFont="1" applyFill="1"/>
    <xf numFmtId="2" fontId="25" fillId="42" borderId="0" xfId="9" applyNumberFormat="1" applyFont="1" applyFill="1"/>
    <xf numFmtId="0" fontId="25" fillId="12" borderId="0" xfId="0" applyFont="1" applyFill="1" applyAlignment="1">
      <alignment horizontal="left"/>
    </xf>
    <xf numFmtId="178" fontId="27" fillId="12" borderId="0" xfId="53" applyNumberFormat="1" applyFont="1" applyFill="1">
      <alignment vertical="top"/>
    </xf>
    <xf numFmtId="172" fontId="21" fillId="12" borderId="0" xfId="32" applyFont="1" applyFill="1">
      <alignment vertical="top"/>
    </xf>
    <xf numFmtId="166" fontId="21" fillId="12" borderId="0" xfId="76" applyNumberFormat="1" applyFont="1" applyFill="1">
      <alignment vertical="top"/>
    </xf>
    <xf numFmtId="183" fontId="21" fillId="43" borderId="0" xfId="53" applyNumberFormat="1" applyFont="1" applyFill="1">
      <alignment vertical="top"/>
    </xf>
    <xf numFmtId="183" fontId="21" fillId="42" borderId="0" xfId="53" applyNumberFormat="1" applyFont="1" applyFill="1">
      <alignment vertical="top"/>
    </xf>
    <xf numFmtId="183" fontId="21" fillId="0" borderId="0" xfId="53" applyNumberFormat="1" applyFont="1" applyFill="1">
      <alignment vertical="top"/>
    </xf>
    <xf numFmtId="165" fontId="61" fillId="0" borderId="0" xfId="75" applyFont="1" applyFill="1">
      <alignment vertical="top"/>
    </xf>
    <xf numFmtId="10" fontId="21" fillId="48" borderId="0" xfId="27" applyNumberFormat="1" applyFont="1" applyFill="1"/>
    <xf numFmtId="2" fontId="0" fillId="48" borderId="0" xfId="0" applyNumberFormat="1" applyFill="1"/>
    <xf numFmtId="0" fontId="25" fillId="48" borderId="0" xfId="0" applyFont="1" applyFill="1"/>
    <xf numFmtId="173" fontId="62" fillId="29" borderId="0" xfId="26" applyNumberFormat="1" applyFont="1" applyFill="1" applyAlignment="1">
      <alignment horizontal="left" vertical="top"/>
    </xf>
    <xf numFmtId="0" fontId="63" fillId="0" borderId="0" xfId="0" applyFont="1"/>
    <xf numFmtId="0" fontId="64" fillId="0" borderId="0" xfId="0" applyFont="1"/>
    <xf numFmtId="0" fontId="65" fillId="0" borderId="0" xfId="0" applyFont="1"/>
    <xf numFmtId="0" fontId="66" fillId="0" borderId="0" xfId="0" applyFont="1"/>
    <xf numFmtId="0" fontId="65" fillId="0" borderId="0" xfId="0" applyFont="1" applyAlignment="1">
      <alignment horizontal="left"/>
    </xf>
    <xf numFmtId="0" fontId="21" fillId="0" borderId="0" xfId="0" applyFont="1" applyAlignment="1">
      <alignment horizontal="left"/>
    </xf>
    <xf numFmtId="0" fontId="21" fillId="0" borderId="0" xfId="0" applyFont="1"/>
    <xf numFmtId="0" fontId="21" fillId="49" borderId="2" xfId="0" applyFont="1" applyFill="1" applyBorder="1" applyAlignment="1">
      <alignment vertical="top" wrapText="1"/>
    </xf>
    <xf numFmtId="0" fontId="48" fillId="49" borderId="2" xfId="0" applyFont="1" applyFill="1" applyBorder="1" applyAlignment="1">
      <alignment vertical="top" wrapText="1"/>
    </xf>
    <xf numFmtId="10" fontId="21" fillId="0" borderId="0" xfId="27" applyNumberFormat="1" applyFont="1" applyFill="1"/>
    <xf numFmtId="0" fontId="68" fillId="50" borderId="0" xfId="0" applyFont="1" applyFill="1"/>
    <xf numFmtId="0" fontId="0" fillId="51" borderId="0" xfId="0" applyFill="1"/>
    <xf numFmtId="4" fontId="0" fillId="51" borderId="0" xfId="0" applyNumberFormat="1" applyFill="1"/>
    <xf numFmtId="3" fontId="0" fillId="51" borderId="0" xfId="0" applyNumberFormat="1" applyFill="1"/>
    <xf numFmtId="177" fontId="0" fillId="51" borderId="0" xfId="0" applyNumberFormat="1" applyFill="1"/>
    <xf numFmtId="179" fontId="0" fillId="51" borderId="0" xfId="0" applyNumberFormat="1" applyFill="1"/>
    <xf numFmtId="0" fontId="61" fillId="0" borderId="0" xfId="0" applyFont="1"/>
    <xf numFmtId="0" fontId="0" fillId="27" borderId="0" xfId="0" applyFill="1"/>
    <xf numFmtId="0" fontId="0" fillId="27" borderId="0" xfId="0" applyFill="1" applyAlignment="1">
      <alignment horizontal="right"/>
    </xf>
    <xf numFmtId="0" fontId="46" fillId="30" borderId="7" xfId="0" applyFont="1" applyFill="1" applyBorder="1" applyAlignment="1">
      <alignment vertical="top" wrapText="1"/>
    </xf>
    <xf numFmtId="0" fontId="46" fillId="30" borderId="8" xfId="0" applyFont="1" applyFill="1" applyBorder="1" applyAlignment="1">
      <alignment vertical="top" wrapText="1"/>
    </xf>
  </cellXfs>
  <cellStyles count="78">
    <cellStyle name="Bad" xfId="7" builtinId="27" customBuiltin="1"/>
    <cellStyle name="Between-worksheet counter-flow" xfId="19" xr:uid="{00000000-0005-0000-0000-000001000000}"/>
    <cellStyle name="Calculation" xfId="11" builtinId="22" customBuiltin="1"/>
    <cellStyle name="Calculation 2" xfId="70" xr:uid="{00000000-0005-0000-0000-000003000000}"/>
    <cellStyle name="Check Cell" xfId="13" builtinId="23" customBuiltin="1"/>
    <cellStyle name="Column 1" xfId="57" xr:uid="{00000000-0005-0000-0000-000005000000}"/>
    <cellStyle name="Column 2 + 3" xfId="58" xr:uid="{00000000-0005-0000-0000-000006000000}"/>
    <cellStyle name="Column 4" xfId="59" xr:uid="{00000000-0005-0000-0000-000007000000}"/>
    <cellStyle name="Comma 2" xfId="31" xr:uid="{00000000-0005-0000-0000-000008000000}"/>
    <cellStyle name="Counterflow" xfId="45" xr:uid="{00000000-0005-0000-0000-000009000000}"/>
    <cellStyle name="DateLong" xfId="51" xr:uid="{00000000-0005-0000-0000-00000A000000}"/>
    <cellStyle name="DateShort" xfId="52" xr:uid="{00000000-0005-0000-0000-00000B000000}"/>
    <cellStyle name="Documentation" xfId="50" xr:uid="{00000000-0005-0000-0000-00000C000000}"/>
    <cellStyle name="Empty cell" xfId="21" xr:uid="{00000000-0005-0000-0000-00000D000000}"/>
    <cellStyle name="End of sheet" xfId="25" xr:uid="{00000000-0005-0000-0000-00000E000000}"/>
    <cellStyle name="Explanatory Text" xfId="16" builtinId="53" customBuiltin="1"/>
    <cellStyle name="Explanatory Text 2" xfId="71" xr:uid="{00000000-0005-0000-0000-000010000000}"/>
    <cellStyle name="Export" xfId="47" xr:uid="{00000000-0005-0000-0000-000011000000}"/>
    <cellStyle name="Exported to another sheet or section" xfId="24" xr:uid="{00000000-0005-0000-0000-000012000000}"/>
    <cellStyle name="Factor" xfId="53" xr:uid="{00000000-0005-0000-0000-000013000000}"/>
    <cellStyle name="Good" xfId="6" builtinId="26" customBuiltin="1"/>
    <cellStyle name="Hard coded" xfId="48" xr:uid="{00000000-0005-0000-0000-000015000000}"/>
    <cellStyle name="Hard coded output" xfId="20" xr:uid="{00000000-0005-0000-0000-000016000000}"/>
    <cellStyle name="Heading 1" xfId="2" builtinId="16" customBuiltin="1"/>
    <cellStyle name="Heading 1 2" xfId="67" xr:uid="{00000000-0005-0000-0000-000018000000}"/>
    <cellStyle name="Heading 2" xfId="3" builtinId="17" customBuiltin="1"/>
    <cellStyle name="Heading 2 2" xfId="68" xr:uid="{00000000-0005-0000-0000-00001A000000}"/>
    <cellStyle name="Heading 3" xfId="4" builtinId="18" customBuiltin="1"/>
    <cellStyle name="Heading 4" xfId="5" builtinId="19" customBuiltin="1"/>
    <cellStyle name="Hyperlink" xfId="26" builtinId="8"/>
    <cellStyle name="Hyperlink 2" xfId="61" xr:uid="{00000000-0005-0000-0000-00001E000000}"/>
    <cellStyle name="Hyperlink 3" xfId="63" xr:uid="{00000000-0005-0000-0000-00001F000000}"/>
    <cellStyle name="Import" xfId="46" xr:uid="{00000000-0005-0000-0000-000020000000}"/>
    <cellStyle name="Input" xfId="9" builtinId="20" customBuiltin="1"/>
    <cellStyle name="Input 2" xfId="72" xr:uid="{00000000-0005-0000-0000-000022000000}"/>
    <cellStyle name="Level 1 Heading" xfId="54" xr:uid="{00000000-0005-0000-0000-000023000000}"/>
    <cellStyle name="Level 2 Heading" xfId="55" xr:uid="{00000000-0005-0000-0000-000024000000}"/>
    <cellStyle name="Level 3 Heading" xfId="56" xr:uid="{00000000-0005-0000-0000-000025000000}"/>
    <cellStyle name="Linked Cell" xfId="12" builtinId="24" customBuiltin="1"/>
    <cellStyle name="Linked Cell 2" xfId="69" xr:uid="{00000000-0005-0000-0000-000027000000}"/>
    <cellStyle name="Neutral" xfId="8" builtinId="28" customBuiltin="1"/>
    <cellStyle name="Normal" xfId="0" builtinId="0" customBuiltin="1"/>
    <cellStyle name="Normal 2" xfId="28" xr:uid="{00000000-0005-0000-0000-00002A000000}"/>
    <cellStyle name="Normal 2 2" xfId="65" xr:uid="{00000000-0005-0000-0000-00002B000000}"/>
    <cellStyle name="Normal 2 3" xfId="60" xr:uid="{00000000-0005-0000-0000-00002C000000}"/>
    <cellStyle name="Normal 2 4" xfId="77" xr:uid="{AB5AA963-B6CB-449D-B7A7-D24B7AF4C789}"/>
    <cellStyle name="Normal 2 5" xfId="75" xr:uid="{00000000-0005-0000-0000-00002D000000}"/>
    <cellStyle name="Normal 3" xfId="29" xr:uid="{00000000-0005-0000-0000-00002E000000}"/>
    <cellStyle name="Normal 4" xfId="30" xr:uid="{00000000-0005-0000-0000-00002F000000}"/>
    <cellStyle name="Normal 5" xfId="76" xr:uid="{712C6662-C51F-4A0C-999D-8683B5C4AE3C}"/>
    <cellStyle name="Normal 6" xfId="73" xr:uid="{00000000-0005-0000-0000-000030000000}"/>
    <cellStyle name="Normal 9" xfId="74" xr:uid="{00000000-0005-0000-0000-000031000000}"/>
    <cellStyle name="Note" xfId="15" builtinId="10" hidden="1" customBuiltin="1"/>
    <cellStyle name="Output" xfId="10" builtinId="21" customBuiltin="1"/>
    <cellStyle name="Pantone 130C" xfId="38" xr:uid="{00000000-0005-0000-0000-000034000000}"/>
    <cellStyle name="Pantone 179C" xfId="43" xr:uid="{00000000-0005-0000-0000-000035000000}"/>
    <cellStyle name="Pantone 232C" xfId="42" xr:uid="{00000000-0005-0000-0000-000036000000}"/>
    <cellStyle name="Pantone 2745C" xfId="41" xr:uid="{00000000-0005-0000-0000-000037000000}"/>
    <cellStyle name="Pantone 279C" xfId="36" xr:uid="{00000000-0005-0000-0000-000038000000}"/>
    <cellStyle name="Pantone 281C" xfId="35" xr:uid="{00000000-0005-0000-0000-000039000000}"/>
    <cellStyle name="Pantone 451C" xfId="37" xr:uid="{00000000-0005-0000-0000-00003A000000}"/>
    <cellStyle name="Pantone 583C" xfId="40" xr:uid="{00000000-0005-0000-0000-00003B000000}"/>
    <cellStyle name="Pantone 633C" xfId="39" xr:uid="{00000000-0005-0000-0000-00003C000000}"/>
    <cellStyle name="Percent" xfId="27" builtinId="5"/>
    <cellStyle name="Percent [0]" xfId="49" xr:uid="{00000000-0005-0000-0000-00003E000000}"/>
    <cellStyle name="Percent 2" xfId="32" xr:uid="{00000000-0005-0000-0000-00003F000000}"/>
    <cellStyle name="Percent 3" xfId="34" xr:uid="{00000000-0005-0000-0000-000040000000}"/>
    <cellStyle name="Section separator" xfId="22" xr:uid="{00000000-0005-0000-0000-000041000000}"/>
    <cellStyle name="Title" xfId="1" builtinId="15" customBuiltin="1"/>
    <cellStyle name="Title 2" xfId="66" xr:uid="{00000000-0005-0000-0000-000043000000}"/>
    <cellStyle name="To be reviewed or discussed" xfId="23" xr:uid="{00000000-0005-0000-0000-000044000000}"/>
    <cellStyle name="Total" xfId="17" builtinId="25" hidden="1"/>
    <cellStyle name="Warning Text" xfId="14" builtinId="11" customBuiltin="1"/>
    <cellStyle name="Warning Text 2" xfId="64" xr:uid="{00000000-0005-0000-0000-000047000000}"/>
    <cellStyle name="Warning Text 3" xfId="33" xr:uid="{00000000-0005-0000-0000-000048000000}"/>
    <cellStyle name="WIP" xfId="44" xr:uid="{00000000-0005-0000-0000-000049000000}"/>
    <cellStyle name="Within-worksheet counter-flow" xfId="18" xr:uid="{00000000-0005-0000-0000-00004A000000}"/>
    <cellStyle name="Year" xfId="62" xr:uid="{00000000-0005-0000-0000-00004B000000}"/>
  </cellStyles>
  <dxfs count="3">
    <dxf>
      <fill>
        <patternFill>
          <bgColor rgb="FFFFCC9A"/>
        </patternFill>
      </fill>
    </dxf>
    <dxf>
      <fill>
        <patternFill>
          <bgColor rgb="FF99CCFF"/>
        </patternFill>
      </fill>
    </dxf>
    <dxf>
      <fill>
        <patternFill>
          <bgColor rgb="FF969696"/>
        </patternFill>
      </fill>
    </dxf>
  </dxfs>
  <tableStyles count="0" defaultTableStyle="TableStyleMedium2" defaultPivotStyle="PivotStyleLight16"/>
  <colors>
    <mruColors>
      <color rgb="FFFFFF00"/>
      <color rgb="FFFFFF99"/>
      <color rgb="FF003479"/>
      <color rgb="FFCCFFFF"/>
      <color rgb="FFE0DCD8"/>
      <color rgb="FFFCEABF"/>
      <color rgb="FFD740A2"/>
      <color rgb="FFCC0099"/>
      <color rgb="FF0078C9"/>
      <color rgb="FF95B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4553993</xdr:colOff>
      <xdr:row>1</xdr:row>
      <xdr:rowOff>9525</xdr:rowOff>
    </xdr:from>
    <xdr:to>
      <xdr:col>6</xdr:col>
      <xdr:colOff>47624</xdr:colOff>
      <xdr:row>2</xdr:row>
      <xdr:rowOff>161926</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2818" y="400050"/>
          <a:ext cx="1161006" cy="371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7</xdr:row>
      <xdr:rowOff>9525</xdr:rowOff>
    </xdr:from>
    <xdr:to>
      <xdr:col>8</xdr:col>
      <xdr:colOff>402166</xdr:colOff>
      <xdr:row>8</xdr:row>
      <xdr:rowOff>2381</xdr:rowOff>
    </xdr:to>
    <xdr:sp macro="" textlink="">
      <xdr:nvSpPr>
        <xdr:cNvPr id="2" name="AutoShape 38">
          <a:extLst>
            <a:ext uri="{FF2B5EF4-FFF2-40B4-BE49-F238E27FC236}">
              <a16:creationId xmlns:a16="http://schemas.microsoft.com/office/drawing/2014/main" id="{35415EC3-9FBF-4205-B22F-D8F473BC4E42}"/>
            </a:ext>
          </a:extLst>
        </xdr:cNvPr>
        <xdr:cNvSpPr>
          <a:spLocks noChangeArrowheads="1"/>
        </xdr:cNvSpPr>
      </xdr:nvSpPr>
      <xdr:spPr bwMode="auto">
        <a:xfrm rot="10800000">
          <a:off x="4324350" y="1362075"/>
          <a:ext cx="306916" cy="154781"/>
        </a:xfrm>
        <a:prstGeom prst="leftArrow">
          <a:avLst>
            <a:gd name="adj1" fmla="val 50000"/>
            <a:gd name="adj2" fmla="val 50000"/>
          </a:avLst>
        </a:prstGeom>
        <a:solidFill>
          <a:srgbClr val="CCFFCC"/>
        </a:solidFill>
        <a:ln w="15875">
          <a:solidFill>
            <a:srgbClr val="008000"/>
          </a:solidFill>
          <a:miter lim="800000"/>
          <a:headEnd/>
          <a:tailEnd/>
        </a:ln>
      </xdr:spPr>
    </xdr:sp>
    <xdr:clientData/>
  </xdr:twoCellAnchor>
  <xdr:twoCellAnchor>
    <xdr:from>
      <xdr:col>12</xdr:col>
      <xdr:colOff>76200</xdr:colOff>
      <xdr:row>7</xdr:row>
      <xdr:rowOff>9525</xdr:rowOff>
    </xdr:from>
    <xdr:to>
      <xdr:col>12</xdr:col>
      <xdr:colOff>383116</xdr:colOff>
      <xdr:row>8</xdr:row>
      <xdr:rowOff>2381</xdr:rowOff>
    </xdr:to>
    <xdr:sp macro="" textlink="">
      <xdr:nvSpPr>
        <xdr:cNvPr id="3" name="AutoShape 38">
          <a:extLst>
            <a:ext uri="{FF2B5EF4-FFF2-40B4-BE49-F238E27FC236}">
              <a16:creationId xmlns:a16="http://schemas.microsoft.com/office/drawing/2014/main" id="{BC019E1F-68D9-4DAA-B2EB-A11B4F0EE6F0}"/>
            </a:ext>
          </a:extLst>
        </xdr:cNvPr>
        <xdr:cNvSpPr>
          <a:spLocks noChangeArrowheads="1"/>
        </xdr:cNvSpPr>
      </xdr:nvSpPr>
      <xdr:spPr bwMode="auto">
        <a:xfrm rot="10800000">
          <a:off x="7343775" y="1362075"/>
          <a:ext cx="306916" cy="154781"/>
        </a:xfrm>
        <a:prstGeom prst="leftArrow">
          <a:avLst>
            <a:gd name="adj1" fmla="val 50000"/>
            <a:gd name="adj2" fmla="val 50000"/>
          </a:avLst>
        </a:prstGeom>
        <a:solidFill>
          <a:srgbClr val="CCFFCC"/>
        </a:solidFill>
        <a:ln w="15875">
          <a:solidFill>
            <a:srgbClr val="008000"/>
          </a:solidFill>
          <a:miter lim="800000"/>
          <a:headEnd/>
          <a:tailEnd/>
        </a:ln>
      </xdr:spPr>
    </xdr:sp>
    <xdr:clientData/>
  </xdr:twoCellAnchor>
</xdr:wsDr>
</file>

<file path=xl/theme/theme1.xml><?xml version="1.0" encoding="utf-8"?>
<a:theme xmlns:a="http://schemas.openxmlformats.org/drawingml/2006/main" name="Ofwat 2016">
  <a:themeElements>
    <a:clrScheme name="Ofwat 2015">
      <a:dk1>
        <a:sysClr val="windowText" lastClr="000000"/>
      </a:dk1>
      <a:lt1>
        <a:sysClr val="window" lastClr="FFFFFF"/>
      </a:lt1>
      <a:dk2>
        <a:srgbClr val="003479"/>
      </a:dk2>
      <a:lt2>
        <a:srgbClr val="FFFFFF"/>
      </a:lt2>
      <a:accent1>
        <a:srgbClr val="0078C9"/>
      </a:accent1>
      <a:accent2>
        <a:srgbClr val="857362"/>
      </a:accent2>
      <a:accent3>
        <a:srgbClr val="F4AA00"/>
      </a:accent3>
      <a:accent4>
        <a:srgbClr val="709500"/>
      </a:accent4>
      <a:accent5>
        <a:srgbClr val="CA0083"/>
      </a:accent5>
      <a:accent6>
        <a:srgbClr val="FE4819"/>
      </a:accent6>
      <a:hlink>
        <a:srgbClr val="0078C9"/>
      </a:hlink>
      <a:folHlink>
        <a:srgbClr val="CA0083"/>
      </a:folHlink>
    </a:clrScheme>
    <a:fontScheme name="Ofwat 2015">
      <a:majorFont>
        <a:latin typeface="Franklin Gothic Demi"/>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wat 2016" id="{A420DE61-A4E8-4DB5-890E-1E2F09860D19}" vid="{7B41E948-0C9A-4054-BED8-27FCA73304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24@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A5E6-C222-4280-BFED-28C5094053B4}">
  <sheetPr>
    <tabColor rgb="FF002060"/>
    <pageSetUpPr fitToPage="1"/>
  </sheetPr>
  <dimension ref="A1:XFC69"/>
  <sheetViews>
    <sheetView tabSelected="1" topLeftCell="A7" zoomScale="80" zoomScaleNormal="80" workbookViewId="0"/>
  </sheetViews>
  <sheetFormatPr defaultColWidth="0" defaultRowHeight="0" customHeight="1" zeroHeight="1" x14ac:dyDescent="0.2"/>
  <cols>
    <col min="1" max="1" width="10.28515625" style="4" customWidth="1"/>
    <col min="2" max="2" width="30.42578125" style="4" customWidth="1"/>
    <col min="3" max="3" width="20" style="4" customWidth="1"/>
    <col min="4" max="4" width="26.85546875" style="4" customWidth="1"/>
    <col min="5" max="5" width="73" style="4" customWidth="1"/>
    <col min="6" max="6" width="12" style="4" bestFit="1" customWidth="1"/>
    <col min="7" max="7" width="10.28515625" style="4" customWidth="1"/>
    <col min="8" max="8" width="5.140625" style="4" customWidth="1"/>
    <col min="9" max="9" width="22.140625" style="4" customWidth="1"/>
    <col min="10" max="13" width="0" style="4" hidden="1" customWidth="1"/>
    <col min="14" max="16383" width="10.28515625" style="4" hidden="1"/>
    <col min="16384" max="16384" width="9.140625" style="4" hidden="1" customWidth="1"/>
  </cols>
  <sheetData>
    <row r="1" spans="1:9" s="47" customFormat="1" ht="30.75" thickBot="1" x14ac:dyDescent="0.25">
      <c r="A1" s="45" t="str">
        <f ca="1" xml:space="preserve"> RIGHT(CELL("filename", $A$1), LEN(CELL("filename", $A$1)) - SEARCH("]", CELL("filename", $A$1)))</f>
        <v>Cover</v>
      </c>
      <c r="B1" s="45"/>
      <c r="C1" s="46"/>
      <c r="D1" s="45"/>
      <c r="E1" s="45"/>
      <c r="F1" s="45"/>
      <c r="G1" s="45"/>
      <c r="H1" s="46"/>
      <c r="I1" s="46"/>
    </row>
    <row r="2" spans="1:9" customFormat="1" ht="17.25" thickTop="1" x14ac:dyDescent="0.2">
      <c r="A2" s="48"/>
      <c r="B2" s="48"/>
      <c r="C2" s="48"/>
      <c r="D2" s="48"/>
      <c r="E2" s="48"/>
      <c r="F2" s="48"/>
      <c r="G2" s="48"/>
      <c r="H2" s="48"/>
      <c r="I2" s="48"/>
    </row>
    <row r="3" spans="1:9" customFormat="1" ht="16.5" x14ac:dyDescent="0.2">
      <c r="A3" s="48"/>
      <c r="B3" s="49" t="s">
        <v>0</v>
      </c>
      <c r="C3" s="49" t="s">
        <v>1</v>
      </c>
      <c r="D3" s="48"/>
      <c r="E3" s="48"/>
      <c r="F3" s="48"/>
      <c r="G3" s="48"/>
      <c r="H3" s="48"/>
      <c r="I3" s="48"/>
    </row>
    <row r="4" spans="1:9" customFormat="1" ht="16.5" x14ac:dyDescent="0.2">
      <c r="A4" s="48"/>
      <c r="B4" s="49" t="s">
        <v>2</v>
      </c>
      <c r="C4" s="49" t="s">
        <v>3</v>
      </c>
      <c r="D4" s="48"/>
      <c r="E4" s="48"/>
      <c r="F4" s="48"/>
      <c r="G4" s="48"/>
      <c r="H4" s="48"/>
      <c r="I4" s="48"/>
    </row>
    <row r="5" spans="1:9" customFormat="1" ht="16.5" x14ac:dyDescent="0.2">
      <c r="A5" s="48"/>
      <c r="B5" s="49" t="s">
        <v>4</v>
      </c>
      <c r="C5" s="124">
        <v>1.6</v>
      </c>
      <c r="D5" s="48"/>
      <c r="E5" s="48"/>
      <c r="F5" s="48"/>
      <c r="G5" s="48"/>
      <c r="H5" s="48"/>
      <c r="I5" s="48"/>
    </row>
    <row r="6" spans="1:9" customFormat="1" ht="16.5" x14ac:dyDescent="0.2">
      <c r="A6" s="48"/>
      <c r="B6" s="49" t="s">
        <v>5</v>
      </c>
      <c r="C6" s="49" t="s">
        <v>6</v>
      </c>
      <c r="D6" s="48"/>
      <c r="E6" s="48"/>
      <c r="F6" s="48"/>
      <c r="G6" s="48"/>
      <c r="H6" s="48"/>
      <c r="I6" s="48"/>
    </row>
    <row r="7" spans="1:9" customFormat="1" ht="16.5" x14ac:dyDescent="0.2">
      <c r="A7" s="48"/>
      <c r="B7" s="49" t="s">
        <v>7</v>
      </c>
      <c r="C7" s="125">
        <v>45629</v>
      </c>
      <c r="D7" s="48"/>
      <c r="E7" s="48"/>
      <c r="F7" s="48"/>
      <c r="G7" s="48"/>
      <c r="H7" s="48"/>
      <c r="I7" s="48"/>
    </row>
    <row r="8" spans="1:9" customFormat="1" ht="16.5" x14ac:dyDescent="0.2">
      <c r="A8" s="48"/>
      <c r="B8" s="49" t="s">
        <v>8</v>
      </c>
      <c r="C8" s="49" t="s">
        <v>9</v>
      </c>
      <c r="D8" s="48"/>
      <c r="E8" s="48"/>
      <c r="F8" s="48"/>
      <c r="G8" s="48"/>
      <c r="H8" s="48"/>
      <c r="I8" s="48"/>
    </row>
    <row r="9" spans="1:9" customFormat="1" ht="16.5" x14ac:dyDescent="0.2">
      <c r="A9" s="48"/>
      <c r="B9" s="49" t="s">
        <v>10</v>
      </c>
      <c r="C9" s="199" t="s">
        <v>11</v>
      </c>
      <c r="D9" s="48"/>
      <c r="E9" s="48"/>
      <c r="F9" s="48"/>
      <c r="G9" s="48"/>
      <c r="H9" s="48"/>
      <c r="I9" s="48"/>
    </row>
    <row r="10" spans="1:9" customFormat="1" ht="16.5" x14ac:dyDescent="0.2">
      <c r="A10" s="48"/>
      <c r="B10" s="48"/>
      <c r="C10" s="48"/>
      <c r="D10" s="48"/>
      <c r="E10" s="48"/>
      <c r="F10" s="48"/>
      <c r="G10" s="48"/>
      <c r="H10" s="48"/>
      <c r="I10" s="48"/>
    </row>
    <row r="11" spans="1:9" ht="12.75" x14ac:dyDescent="0.2">
      <c r="A11" s="112"/>
      <c r="B11" s="112"/>
      <c r="C11" s="113"/>
      <c r="D11" s="112"/>
      <c r="E11" s="112"/>
      <c r="F11" s="112"/>
      <c r="G11" s="112"/>
      <c r="H11" s="112"/>
      <c r="I11" s="112"/>
    </row>
    <row r="12" spans="1:9" ht="12.75" x14ac:dyDescent="0.2">
      <c r="A12" s="112"/>
      <c r="B12" s="112" t="s">
        <v>12</v>
      </c>
      <c r="C12" s="4" t="s">
        <v>13</v>
      </c>
      <c r="E12" s="112"/>
      <c r="F12" s="112"/>
      <c r="G12" s="112"/>
      <c r="H12" s="112"/>
      <c r="I12" s="112"/>
    </row>
    <row r="13" spans="1:9" ht="12.75" x14ac:dyDescent="0.2">
      <c r="A13" s="112"/>
      <c r="B13" s="112"/>
      <c r="C13" s="112" t="s">
        <v>14</v>
      </c>
      <c r="D13" s="112"/>
      <c r="E13" s="112"/>
      <c r="F13" s="112"/>
      <c r="G13" s="112"/>
      <c r="H13" s="112"/>
      <c r="I13" s="112"/>
    </row>
    <row r="14" spans="1:9" ht="12.75" x14ac:dyDescent="0.2">
      <c r="A14" s="112"/>
      <c r="B14" s="112"/>
      <c r="C14" s="112"/>
      <c r="D14" s="112"/>
      <c r="E14" s="112"/>
      <c r="F14" s="112"/>
      <c r="G14" s="112"/>
      <c r="H14" s="112"/>
      <c r="I14" s="112"/>
    </row>
    <row r="15" spans="1:9" ht="12.75" x14ac:dyDescent="0.2">
      <c r="A15" s="112"/>
      <c r="B15" s="112"/>
      <c r="C15" s="112"/>
      <c r="D15" s="112"/>
      <c r="E15" s="112"/>
      <c r="F15" s="112"/>
      <c r="G15" s="112"/>
      <c r="H15" s="112"/>
      <c r="I15" s="112"/>
    </row>
    <row r="16" spans="1:9" ht="12.75" x14ac:dyDescent="0.2">
      <c r="A16" s="112"/>
      <c r="B16" s="112"/>
      <c r="C16" s="112"/>
      <c r="D16" s="112"/>
      <c r="E16" s="112"/>
      <c r="F16" s="112"/>
      <c r="G16" s="112"/>
      <c r="H16" s="112"/>
      <c r="I16" s="112"/>
    </row>
    <row r="17" spans="1:9" ht="12.75" x14ac:dyDescent="0.2">
      <c r="A17" s="112"/>
      <c r="B17" s="112" t="s">
        <v>15</v>
      </c>
      <c r="C17" s="112" t="s">
        <v>16</v>
      </c>
      <c r="D17" s="112"/>
      <c r="E17" s="112"/>
      <c r="F17" s="112"/>
      <c r="G17" s="112"/>
      <c r="H17" s="112"/>
      <c r="I17" s="112"/>
    </row>
    <row r="18" spans="1:9" ht="12.75" x14ac:dyDescent="0.2">
      <c r="A18" s="112"/>
      <c r="C18" s="4" t="s">
        <v>17</v>
      </c>
      <c r="D18" s="112"/>
      <c r="E18" s="112"/>
      <c r="F18" s="112"/>
      <c r="G18" s="112"/>
      <c r="H18" s="112"/>
      <c r="I18" s="112"/>
    </row>
    <row r="19" spans="1:9" ht="12.75" x14ac:dyDescent="0.2">
      <c r="A19" s="112"/>
      <c r="B19" s="112"/>
      <c r="C19" s="112"/>
      <c r="D19" s="112"/>
      <c r="E19" s="112"/>
      <c r="F19" s="112"/>
      <c r="G19" s="112"/>
      <c r="H19" s="112"/>
      <c r="I19" s="112"/>
    </row>
    <row r="20" spans="1:9" ht="16.5" x14ac:dyDescent="0.2">
      <c r="A20" s="112"/>
      <c r="B20" s="112" t="s">
        <v>18</v>
      </c>
      <c r="C20" s="4" t="s">
        <v>19</v>
      </c>
      <c r="D20" s="114"/>
      <c r="E20" s="114"/>
      <c r="F20" s="114"/>
      <c r="G20" s="112"/>
      <c r="H20" s="112"/>
      <c r="I20" s="112"/>
    </row>
    <row r="21" spans="1:9" ht="16.5" x14ac:dyDescent="0.2">
      <c r="A21" s="112"/>
      <c r="B21" s="112"/>
      <c r="C21" s="114"/>
      <c r="D21" s="114"/>
      <c r="E21" s="114"/>
      <c r="F21" s="114"/>
      <c r="G21" s="112"/>
      <c r="H21" s="112"/>
      <c r="I21" s="112"/>
    </row>
    <row r="22" spans="1:9" ht="12.75" x14ac:dyDescent="0.2">
      <c r="A22" s="112"/>
      <c r="B22" s="112"/>
      <c r="C22" s="50" t="s">
        <v>20</v>
      </c>
      <c r="D22" s="51"/>
      <c r="E22" s="52" t="s">
        <v>21</v>
      </c>
      <c r="F22" s="53" t="s">
        <v>22</v>
      </c>
      <c r="G22" s="112"/>
      <c r="H22" s="112"/>
      <c r="I22" s="112"/>
    </row>
    <row r="23" spans="1:9" ht="12.75" x14ac:dyDescent="0.2">
      <c r="A23" s="112"/>
      <c r="B23" s="112"/>
      <c r="C23" s="219" t="s">
        <v>23</v>
      </c>
      <c r="D23" s="220"/>
      <c r="E23" s="54" t="s">
        <v>23</v>
      </c>
      <c r="F23" s="55"/>
      <c r="G23" s="112"/>
      <c r="H23" s="112"/>
      <c r="I23" s="112"/>
    </row>
    <row r="24" spans="1:9" ht="12.75" x14ac:dyDescent="0.2">
      <c r="A24" s="112"/>
      <c r="B24" s="112"/>
      <c r="C24" s="112"/>
      <c r="D24" s="112"/>
      <c r="E24" s="112"/>
      <c r="F24" s="112"/>
      <c r="G24" s="112"/>
      <c r="H24" s="112"/>
      <c r="I24" s="112"/>
    </row>
    <row r="25" spans="1:9" ht="12.75" x14ac:dyDescent="0.2">
      <c r="A25" s="112"/>
      <c r="B25" s="112"/>
      <c r="C25" s="112"/>
      <c r="D25" s="112"/>
      <c r="E25" s="112"/>
      <c r="F25" s="112"/>
      <c r="G25" s="112"/>
      <c r="H25" s="112"/>
      <c r="I25" s="112"/>
    </row>
    <row r="26" spans="1:9" ht="12.75" x14ac:dyDescent="0.2">
      <c r="B26" s="112" t="s">
        <v>24</v>
      </c>
      <c r="C26" s="115" t="s">
        <v>25</v>
      </c>
      <c r="D26" s="115"/>
      <c r="E26" s="115"/>
      <c r="F26" s="115"/>
    </row>
    <row r="27" spans="1:9" ht="16.5" x14ac:dyDescent="0.2">
      <c r="B27" s="116"/>
      <c r="C27" s="114"/>
      <c r="D27" s="114"/>
      <c r="E27" s="114"/>
      <c r="F27" s="114"/>
    </row>
    <row r="28" spans="1:9" ht="16.5" x14ac:dyDescent="0.2">
      <c r="B28" s="116"/>
      <c r="C28" s="50" t="s">
        <v>26</v>
      </c>
      <c r="D28" s="52" t="s">
        <v>27</v>
      </c>
      <c r="E28" s="52" t="s">
        <v>28</v>
      </c>
      <c r="F28" s="53" t="s">
        <v>29</v>
      </c>
    </row>
    <row r="29" spans="1:9" ht="16.5" x14ac:dyDescent="0.2">
      <c r="B29" s="116"/>
      <c r="C29" s="128" t="s">
        <v>30</v>
      </c>
      <c r="D29" s="128" t="s">
        <v>31</v>
      </c>
      <c r="E29" s="128" t="s">
        <v>32</v>
      </c>
      <c r="F29" s="56"/>
    </row>
    <row r="30" spans="1:9" ht="25.5" x14ac:dyDescent="0.2">
      <c r="C30" s="123"/>
      <c r="D30" s="126" t="s">
        <v>31</v>
      </c>
      <c r="E30" s="127" t="s">
        <v>33</v>
      </c>
      <c r="F30" s="123"/>
    </row>
    <row r="31" spans="1:9" ht="51" x14ac:dyDescent="0.2">
      <c r="B31" s="116"/>
      <c r="C31" s="130" t="s">
        <v>34</v>
      </c>
      <c r="D31" s="130" t="s">
        <v>35</v>
      </c>
      <c r="E31" s="130" t="s">
        <v>36</v>
      </c>
      <c r="F31" s="131"/>
    </row>
    <row r="32" spans="1:9" ht="25.5" x14ac:dyDescent="0.2">
      <c r="C32" s="123" t="s">
        <v>30</v>
      </c>
      <c r="D32" s="126" t="s">
        <v>35</v>
      </c>
      <c r="E32" s="127" t="s">
        <v>37</v>
      </c>
      <c r="F32" s="123"/>
    </row>
    <row r="33" spans="1:6" ht="16.5" x14ac:dyDescent="0.2">
      <c r="B33" s="116"/>
      <c r="C33" s="207" t="s">
        <v>30</v>
      </c>
      <c r="D33" s="207" t="s">
        <v>38</v>
      </c>
      <c r="E33" s="207" t="s">
        <v>39</v>
      </c>
      <c r="F33" s="208"/>
    </row>
    <row r="34" spans="1:6" ht="12.75" x14ac:dyDescent="0.2">
      <c r="B34" s="112"/>
      <c r="C34" s="129"/>
    </row>
    <row r="35" spans="1:6" ht="12.75" x14ac:dyDescent="0.2">
      <c r="B35" s="112"/>
      <c r="C35" s="129"/>
    </row>
    <row r="36" spans="1:6" ht="12.75" x14ac:dyDescent="0.2">
      <c r="C36" s="129"/>
    </row>
    <row r="37" spans="1:6" ht="12.75" x14ac:dyDescent="0.2">
      <c r="B37" s="112" t="s">
        <v>40</v>
      </c>
      <c r="C37" s="4" t="s">
        <v>41</v>
      </c>
    </row>
    <row r="38" spans="1:6" ht="12.75" x14ac:dyDescent="0.2">
      <c r="B38" s="112"/>
      <c r="C38" s="112"/>
    </row>
    <row r="39" spans="1:6" ht="12.75" x14ac:dyDescent="0.2">
      <c r="C39" s="4" t="s">
        <v>42</v>
      </c>
    </row>
    <row r="40" spans="1:6" ht="12.75" x14ac:dyDescent="0.2"/>
    <row r="41" spans="1:6" s="7" customFormat="1" ht="13.5" x14ac:dyDescent="0.25">
      <c r="A41" s="7" t="s">
        <v>43</v>
      </c>
    </row>
    <row r="42" spans="1:6" ht="12.75" x14ac:dyDescent="0.2"/>
    <row r="43" spans="1:6" ht="12.75" x14ac:dyDescent="0.2"/>
    <row r="44" spans="1:6" ht="12.75" x14ac:dyDescent="0.2"/>
    <row r="45" spans="1:6" ht="12.75" hidden="1" x14ac:dyDescent="0.2"/>
    <row r="46" spans="1:6" ht="12.75" hidden="1" x14ac:dyDescent="0.2"/>
    <row r="47" spans="1:6" ht="12.75" hidden="1" x14ac:dyDescent="0.2"/>
    <row r="48" spans="1:6"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sheetData>
  <mergeCells count="1">
    <mergeCell ref="C23:D23"/>
  </mergeCells>
  <dataValidations count="1">
    <dataValidation type="list" allowBlank="1" showInputMessage="1" showErrorMessage="1" sqref="C29 C31 C33:C36" xr:uid="{00000000-0002-0000-0000-000000000000}">
      <formula1>"Formula Update,New Functionality,Logic Update,New Validation"</formula1>
    </dataValidation>
  </dataValidations>
  <hyperlinks>
    <hyperlink ref="C9" r:id="rId1" xr:uid="{00000000-0004-0000-0000-000000000000}"/>
  </hyperlinks>
  <pageMargins left="0.70866141732283472" right="0.70866141732283472" top="0.74803149606299213" bottom="0.74803149606299213" header="0.31496062992125984" footer="0.31496062992125984"/>
  <pageSetup paperSize="8" scale="93" fitToHeight="0" orientation="landscape" r:id="rId2"/>
  <headerFooter>
    <oddHeader>&amp;L&amp;F&amp;CSheet: &amp;A&amp;ROFFICIAL</oddHeader>
    <oddFooter>&amp;LPrinted on &amp;D at &amp;T&amp;CPage &amp;P of &amp;N&amp;ROfwat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FF5B-5C70-4900-B084-F9C870510C7A}">
  <sheetPr>
    <tabColor theme="5" tint="0.79998168889431442"/>
    <pageSetUpPr fitToPage="1"/>
  </sheetPr>
  <dimension ref="A1:AA126"/>
  <sheetViews>
    <sheetView zoomScale="80" zoomScaleNormal="80" zoomScaleSheetLayoutView="100" workbookViewId="0">
      <selection activeCell="K29" sqref="K29"/>
    </sheetView>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6" width="9.140625" style="4" customWidth="1"/>
    <col min="27" max="27" width="2.7109375" style="4" customWidth="1"/>
    <col min="28" max="16384" width="9.140625" style="4"/>
  </cols>
  <sheetData>
    <row r="1" spans="1:26" s="1" customFormat="1" ht="30" x14ac:dyDescent="0.4">
      <c r="A1" s="1" t="str">
        <f ca="1" xml:space="preserve"> RIGHT(CELL("filename", $A$1), LEN(CELL("filename", $A$1)) - SEARCH("]", CELL("filename", $A$1)))</f>
        <v>Payment rates</v>
      </c>
      <c r="F1" s="1" t="str">
        <f xml:space="preserve"> Inputs!$F$1</f>
        <v>2023-24</v>
      </c>
    </row>
    <row r="2" spans="1:26" x14ac:dyDescent="0.2">
      <c r="F2" s="30" t="s">
        <v>189</v>
      </c>
      <c r="G2" s="30" t="s">
        <v>151</v>
      </c>
      <c r="H2" s="30" t="s">
        <v>190</v>
      </c>
      <c r="I2" s="8"/>
    </row>
    <row r="3" spans="1:26" s="2" customFormat="1" ht="13.5" x14ac:dyDescent="0.25">
      <c r="A3" s="2" t="s">
        <v>243</v>
      </c>
    </row>
    <row r="5" spans="1:26" s="9" customFormat="1" x14ac:dyDescent="0.2">
      <c r="E5" s="9" t="str">
        <f>Inputs!E97</f>
        <v>Company names</v>
      </c>
      <c r="G5" s="9" t="str">
        <f>Inputs!G97</f>
        <v>Text</v>
      </c>
      <c r="J5" s="9" t="str">
        <f>Inputs!J97</f>
        <v>Affinity Water</v>
      </c>
      <c r="K5" s="9" t="str">
        <f>Inputs!K97</f>
        <v>Anglian Water</v>
      </c>
      <c r="L5" s="9" t="str">
        <f>Inputs!L97</f>
        <v>Bristol Water</v>
      </c>
      <c r="M5" s="9" t="str">
        <f>Inputs!M97</f>
        <v>Dŵr Cymru</v>
      </c>
      <c r="N5" s="9" t="str">
        <f>Inputs!N97</f>
        <v>Hafren Dyfrdwy</v>
      </c>
      <c r="O5" s="9" t="str">
        <f>Inputs!O97</f>
        <v>Northumbrian Water</v>
      </c>
      <c r="P5" s="9" t="str">
        <f>Inputs!P97</f>
        <v>Portsmouth Water</v>
      </c>
      <c r="Q5" s="9" t="str">
        <f>Inputs!Q97</f>
        <v>SES Water</v>
      </c>
      <c r="R5" s="9" t="str">
        <f>Inputs!R97</f>
        <v>Severn Trent Water</v>
      </c>
      <c r="S5" s="9" t="str">
        <f>Inputs!S97</f>
        <v>South East Water</v>
      </c>
      <c r="T5" s="9" t="str">
        <f>Inputs!T97</f>
        <v>South Staffs Water</v>
      </c>
      <c r="U5" s="9" t="str">
        <f>Inputs!U97</f>
        <v>South West Water</v>
      </c>
      <c r="V5" s="9" t="str">
        <f>Inputs!V97</f>
        <v>Southern Water</v>
      </c>
      <c r="W5" s="9" t="str">
        <f>Inputs!W97</f>
        <v>Thames Water</v>
      </c>
      <c r="X5" s="9" t="str">
        <f>Inputs!X97</f>
        <v>United Utilities</v>
      </c>
      <c r="Y5" s="9" t="str">
        <f>Inputs!Y97</f>
        <v>Wessex Water</v>
      </c>
      <c r="Z5" s="9" t="str">
        <f>Inputs!Z97</f>
        <v>Yorkshire Water</v>
      </c>
    </row>
    <row r="6" spans="1:26" s="9" customFormat="1" x14ac:dyDescent="0.2">
      <c r="E6" s="9" t="str">
        <f>Inputs!E98</f>
        <v>C-MeX score</v>
      </c>
      <c r="G6" s="9" t="str">
        <f>Inputs!G98</f>
        <v>Number</v>
      </c>
      <c r="J6" s="11">
        <f>Inputs!J98</f>
        <v>70.099999999999994</v>
      </c>
      <c r="K6" s="11">
        <f>Inputs!K98</f>
        <v>77.38</v>
      </c>
      <c r="L6" s="11">
        <f>Inputs!L98</f>
        <v>77.760000000000005</v>
      </c>
      <c r="M6" s="11">
        <f>Inputs!M98</f>
        <v>79.56</v>
      </c>
      <c r="N6" s="11">
        <f>Inputs!N98</f>
        <v>77.61</v>
      </c>
      <c r="O6" s="11">
        <f>Inputs!O98</f>
        <v>80.36</v>
      </c>
      <c r="P6" s="11">
        <f>Inputs!P98</f>
        <v>77.78</v>
      </c>
      <c r="Q6" s="11">
        <f>Inputs!Q98</f>
        <v>69.72</v>
      </c>
      <c r="R6" s="11">
        <f>Inputs!R98</f>
        <v>74.42</v>
      </c>
      <c r="S6" s="11">
        <f>Inputs!S98</f>
        <v>71.819999999999993</v>
      </c>
      <c r="T6" s="11">
        <f>Inputs!T98</f>
        <v>74.739999999999995</v>
      </c>
      <c r="U6" s="11">
        <f>Inputs!U98</f>
        <v>69.48</v>
      </c>
      <c r="V6" s="11">
        <f>Inputs!V98</f>
        <v>65.13</v>
      </c>
      <c r="W6" s="11">
        <f>Inputs!W98</f>
        <v>61.44</v>
      </c>
      <c r="X6" s="11">
        <f>Inputs!X98</f>
        <v>76.36</v>
      </c>
      <c r="Y6" s="11">
        <f>Inputs!Y98</f>
        <v>79.709999999999994</v>
      </c>
      <c r="Z6" s="11">
        <f>Inputs!Z98</f>
        <v>74.48</v>
      </c>
    </row>
    <row r="7" spans="1:26" x14ac:dyDescent="0.2">
      <c r="E7" s="4" t="s">
        <v>244</v>
      </c>
      <c r="G7" s="4" t="s">
        <v>178</v>
      </c>
      <c r="J7" s="4">
        <f>_xlfn.RANK.EQ(J6,$J6:$Z6)</f>
        <v>13</v>
      </c>
      <c r="K7" s="4">
        <f t="shared" ref="K7:Y7" si="0">_xlfn.RANK.EQ(K6,$J6:$Z6)</f>
        <v>7</v>
      </c>
      <c r="L7" s="4">
        <f t="shared" si="0"/>
        <v>5</v>
      </c>
      <c r="M7" s="4">
        <f t="shared" si="0"/>
        <v>3</v>
      </c>
      <c r="N7" s="4">
        <f t="shared" si="0"/>
        <v>6</v>
      </c>
      <c r="O7" s="4">
        <f t="shared" si="0"/>
        <v>1</v>
      </c>
      <c r="P7" s="4">
        <f t="shared" si="0"/>
        <v>4</v>
      </c>
      <c r="Q7" s="4">
        <f t="shared" si="0"/>
        <v>14</v>
      </c>
      <c r="R7" s="4">
        <f t="shared" si="0"/>
        <v>11</v>
      </c>
      <c r="S7" s="4">
        <f t="shared" si="0"/>
        <v>12</v>
      </c>
      <c r="T7" s="4">
        <f t="shared" si="0"/>
        <v>9</v>
      </c>
      <c r="U7" s="4">
        <f t="shared" si="0"/>
        <v>15</v>
      </c>
      <c r="V7" s="4">
        <f t="shared" si="0"/>
        <v>16</v>
      </c>
      <c r="W7" s="4">
        <f t="shared" si="0"/>
        <v>17</v>
      </c>
      <c r="X7" s="4">
        <f t="shared" si="0"/>
        <v>8</v>
      </c>
      <c r="Y7" s="4">
        <f t="shared" si="0"/>
        <v>2</v>
      </c>
      <c r="Z7" s="4">
        <f>_xlfn.RANK.EQ(Z6,$J6:$Z6)</f>
        <v>10</v>
      </c>
    </row>
    <row r="9" spans="1:26" s="2" customFormat="1" ht="13.5" x14ac:dyDescent="0.25">
      <c r="A9" s="2" t="s">
        <v>245</v>
      </c>
    </row>
    <row r="11" spans="1:26" x14ac:dyDescent="0.2">
      <c r="B11" s="8" t="s">
        <v>246</v>
      </c>
    </row>
    <row r="12" spans="1:26" s="9" customFormat="1" x14ac:dyDescent="0.2">
      <c r="E12" s="13" t="str">
        <f>E6</f>
        <v>C-MeX score</v>
      </c>
      <c r="F12" s="13"/>
      <c r="G12" s="13" t="str">
        <f t="shared" ref="G12:Z12" si="1">G6</f>
        <v>Number</v>
      </c>
      <c r="H12" s="13"/>
      <c r="I12" s="13"/>
      <c r="J12" s="14">
        <f t="shared" si="1"/>
        <v>70.099999999999994</v>
      </c>
      <c r="K12" s="14">
        <f t="shared" si="1"/>
        <v>77.38</v>
      </c>
      <c r="L12" s="14">
        <f t="shared" si="1"/>
        <v>77.760000000000005</v>
      </c>
      <c r="M12" s="14">
        <f t="shared" si="1"/>
        <v>79.56</v>
      </c>
      <c r="N12" s="14">
        <f t="shared" si="1"/>
        <v>77.61</v>
      </c>
      <c r="O12" s="14">
        <f t="shared" si="1"/>
        <v>80.36</v>
      </c>
      <c r="P12" s="14">
        <f t="shared" si="1"/>
        <v>77.78</v>
      </c>
      <c r="Q12" s="14">
        <f>Q6</f>
        <v>69.72</v>
      </c>
      <c r="R12" s="14">
        <f t="shared" si="1"/>
        <v>74.42</v>
      </c>
      <c r="S12" s="14">
        <f t="shared" si="1"/>
        <v>71.819999999999993</v>
      </c>
      <c r="T12" s="14">
        <f t="shared" si="1"/>
        <v>74.739999999999995</v>
      </c>
      <c r="U12" s="14">
        <f t="shared" si="1"/>
        <v>69.48</v>
      </c>
      <c r="V12" s="14">
        <f t="shared" si="1"/>
        <v>65.13</v>
      </c>
      <c r="W12" s="14">
        <f t="shared" si="1"/>
        <v>61.44</v>
      </c>
      <c r="X12" s="14">
        <f t="shared" si="1"/>
        <v>76.36</v>
      </c>
      <c r="Y12" s="14">
        <f t="shared" si="1"/>
        <v>79.709999999999994</v>
      </c>
      <c r="Z12" s="14">
        <f t="shared" si="1"/>
        <v>74.48</v>
      </c>
    </row>
    <row r="13" spans="1:26" x14ac:dyDescent="0.2">
      <c r="E13" s="4" t="s">
        <v>247</v>
      </c>
      <c r="F13" s="12">
        <f>AVERAGE(J12:Z12)</f>
        <v>73.991176470588229</v>
      </c>
      <c r="G13" s="4" t="s">
        <v>178</v>
      </c>
    </row>
    <row r="14" spans="1:26" x14ac:dyDescent="0.2">
      <c r="E14" s="4" t="s">
        <v>248</v>
      </c>
      <c r="F14" s="12">
        <f>MEDIAN(J12:Z12)</f>
        <v>74.739999999999995</v>
      </c>
      <c r="G14" s="4" t="s">
        <v>178</v>
      </c>
    </row>
    <row r="15" spans="1:26" x14ac:dyDescent="0.2">
      <c r="E15" s="4" t="s">
        <v>249</v>
      </c>
      <c r="F15" s="12">
        <f>MAX(J12:Z12)</f>
        <v>80.36</v>
      </c>
      <c r="G15" s="4" t="s">
        <v>178</v>
      </c>
    </row>
    <row r="16" spans="1:26" x14ac:dyDescent="0.2">
      <c r="E16" s="4" t="s">
        <v>250</v>
      </c>
      <c r="F16" s="12">
        <f>MIN(J12:Z12)</f>
        <v>61.44</v>
      </c>
      <c r="G16" s="4" t="s">
        <v>178</v>
      </c>
    </row>
    <row r="18" spans="2:26" x14ac:dyDescent="0.2">
      <c r="E18" s="4" t="str">
        <f>E6</f>
        <v>C-MeX score</v>
      </c>
      <c r="G18" s="4" t="str">
        <f t="shared" ref="G18:Z18" si="2">G6</f>
        <v>Number</v>
      </c>
      <c r="J18" s="12">
        <f t="shared" si="2"/>
        <v>70.099999999999994</v>
      </c>
      <c r="K18" s="12">
        <f t="shared" si="2"/>
        <v>77.38</v>
      </c>
      <c r="L18" s="12">
        <f t="shared" si="2"/>
        <v>77.760000000000005</v>
      </c>
      <c r="M18" s="12">
        <f t="shared" si="2"/>
        <v>79.56</v>
      </c>
      <c r="N18" s="12">
        <f t="shared" si="2"/>
        <v>77.61</v>
      </c>
      <c r="O18" s="12">
        <f t="shared" si="2"/>
        <v>80.36</v>
      </c>
      <c r="P18" s="12">
        <f t="shared" si="2"/>
        <v>77.78</v>
      </c>
      <c r="Q18" s="12">
        <f t="shared" si="2"/>
        <v>69.72</v>
      </c>
      <c r="R18" s="12">
        <f>R6</f>
        <v>74.42</v>
      </c>
      <c r="S18" s="12">
        <f t="shared" si="2"/>
        <v>71.819999999999993</v>
      </c>
      <c r="T18" s="12">
        <f t="shared" si="2"/>
        <v>74.739999999999995</v>
      </c>
      <c r="U18" s="12">
        <f t="shared" si="2"/>
        <v>69.48</v>
      </c>
      <c r="V18" s="12">
        <f t="shared" si="2"/>
        <v>65.13</v>
      </c>
      <c r="W18" s="12">
        <f t="shared" si="2"/>
        <v>61.44</v>
      </c>
      <c r="X18" s="12">
        <f t="shared" si="2"/>
        <v>76.36</v>
      </c>
      <c r="Y18" s="12">
        <f t="shared" si="2"/>
        <v>79.709999999999994</v>
      </c>
      <c r="Z18" s="12">
        <f t="shared" si="2"/>
        <v>74.48</v>
      </c>
    </row>
    <row r="19" spans="2:26" x14ac:dyDescent="0.2">
      <c r="E19" s="4" t="str">
        <f>E14</f>
        <v>C-MeX score - median average</v>
      </c>
      <c r="F19" s="12">
        <f>F14</f>
        <v>74.739999999999995</v>
      </c>
      <c r="G19" s="4" t="str">
        <f>G14</f>
        <v>Number</v>
      </c>
      <c r="J19" s="12"/>
      <c r="K19" s="12"/>
      <c r="L19" s="12"/>
      <c r="M19" s="12"/>
      <c r="N19" s="12"/>
      <c r="O19" s="12"/>
      <c r="P19" s="12"/>
      <c r="Q19" s="12"/>
      <c r="R19" s="12"/>
      <c r="S19" s="12"/>
      <c r="T19" s="12"/>
      <c r="U19" s="12"/>
      <c r="V19" s="12"/>
      <c r="W19" s="12"/>
      <c r="X19" s="12"/>
      <c r="Y19" s="12"/>
      <c r="Z19" s="12"/>
    </row>
    <row r="20" spans="2:26" x14ac:dyDescent="0.2">
      <c r="E20" s="4" t="s">
        <v>251</v>
      </c>
      <c r="G20" s="4" t="s">
        <v>178</v>
      </c>
      <c r="J20" s="12">
        <f>J18-$F19</f>
        <v>-4.6400000000000006</v>
      </c>
      <c r="K20" s="12">
        <f t="shared" ref="K20:Y20" si="3">K18-$F19</f>
        <v>2.6400000000000006</v>
      </c>
      <c r="L20" s="12">
        <f t="shared" si="3"/>
        <v>3.0200000000000102</v>
      </c>
      <c r="M20" s="12">
        <f t="shared" si="3"/>
        <v>4.8200000000000074</v>
      </c>
      <c r="N20" s="12">
        <f t="shared" si="3"/>
        <v>2.8700000000000045</v>
      </c>
      <c r="O20" s="12">
        <f t="shared" si="3"/>
        <v>5.6200000000000045</v>
      </c>
      <c r="P20" s="12">
        <f t="shared" si="3"/>
        <v>3.0400000000000063</v>
      </c>
      <c r="Q20" s="12">
        <f t="shared" si="3"/>
        <v>-5.019999999999996</v>
      </c>
      <c r="R20" s="12">
        <f>R18-$F19</f>
        <v>-0.31999999999999318</v>
      </c>
      <c r="S20" s="12">
        <f t="shared" si="3"/>
        <v>-2.9200000000000017</v>
      </c>
      <c r="T20" s="12">
        <f t="shared" si="3"/>
        <v>0</v>
      </c>
      <c r="U20" s="12">
        <f t="shared" si="3"/>
        <v>-5.2599999999999909</v>
      </c>
      <c r="V20" s="12">
        <f t="shared" si="3"/>
        <v>-9.61</v>
      </c>
      <c r="W20" s="12">
        <f t="shared" si="3"/>
        <v>-13.299999999999997</v>
      </c>
      <c r="X20" s="12">
        <f t="shared" si="3"/>
        <v>1.6200000000000045</v>
      </c>
      <c r="Y20" s="12">
        <f t="shared" si="3"/>
        <v>4.9699999999999989</v>
      </c>
      <c r="Z20" s="12">
        <f>Z18-$F19</f>
        <v>-0.25999999999999091</v>
      </c>
    </row>
    <row r="21" spans="2:26" x14ac:dyDescent="0.2">
      <c r="J21" s="12"/>
      <c r="K21" s="12"/>
      <c r="L21" s="12"/>
      <c r="M21" s="12"/>
      <c r="N21" s="12"/>
      <c r="O21" s="12"/>
      <c r="P21" s="12"/>
      <c r="Q21" s="12"/>
      <c r="R21" s="12"/>
      <c r="S21" s="12"/>
      <c r="T21" s="12"/>
      <c r="U21" s="12"/>
      <c r="V21" s="12"/>
      <c r="W21" s="12"/>
      <c r="X21" s="12"/>
      <c r="Y21" s="12"/>
      <c r="Z21" s="12"/>
    </row>
    <row r="22" spans="2:26" x14ac:dyDescent="0.2">
      <c r="B22" s="8" t="s">
        <v>252</v>
      </c>
      <c r="J22" s="12"/>
      <c r="K22" s="12"/>
      <c r="L22" s="12"/>
      <c r="M22" s="12"/>
      <c r="N22" s="12"/>
      <c r="O22" s="12"/>
      <c r="P22" s="12"/>
      <c r="Q22" s="12"/>
      <c r="R22" s="12"/>
      <c r="S22" s="12"/>
      <c r="T22" s="12"/>
      <c r="U22" s="12"/>
      <c r="V22" s="12"/>
      <c r="W22" s="12"/>
      <c r="X22" s="12"/>
      <c r="Y22" s="12"/>
      <c r="Z22" s="12"/>
    </row>
    <row r="23" spans="2:26" x14ac:dyDescent="0.2">
      <c r="C23" s="27" t="s">
        <v>253</v>
      </c>
      <c r="J23" s="12"/>
      <c r="K23" s="12"/>
      <c r="L23" s="12"/>
      <c r="M23" s="12"/>
      <c r="N23" s="12"/>
      <c r="O23" s="12"/>
      <c r="P23" s="12"/>
      <c r="Q23" s="12"/>
      <c r="R23" s="12"/>
      <c r="S23" s="12"/>
      <c r="T23" s="12"/>
      <c r="U23" s="12"/>
      <c r="V23" s="12"/>
      <c r="W23" s="12"/>
      <c r="X23" s="12"/>
      <c r="Y23" s="12"/>
      <c r="Z23" s="12"/>
    </row>
    <row r="24" spans="2:26" x14ac:dyDescent="0.2">
      <c r="E24" s="4" t="str">
        <f>E20</f>
        <v>Difference from median</v>
      </c>
      <c r="G24" s="4" t="str">
        <f t="shared" ref="G24:Z24" si="4">G20</f>
        <v>Number</v>
      </c>
      <c r="J24" s="12">
        <f t="shared" si="4"/>
        <v>-4.6400000000000006</v>
      </c>
      <c r="K24" s="12">
        <f t="shared" si="4"/>
        <v>2.6400000000000006</v>
      </c>
      <c r="L24" s="12">
        <f t="shared" si="4"/>
        <v>3.0200000000000102</v>
      </c>
      <c r="M24" s="12">
        <f t="shared" si="4"/>
        <v>4.8200000000000074</v>
      </c>
      <c r="N24" s="12">
        <f t="shared" si="4"/>
        <v>2.8700000000000045</v>
      </c>
      <c r="O24" s="12">
        <f t="shared" si="4"/>
        <v>5.6200000000000045</v>
      </c>
      <c r="P24" s="12">
        <f>P20</f>
        <v>3.0400000000000063</v>
      </c>
      <c r="Q24" s="12">
        <f t="shared" si="4"/>
        <v>-5.019999999999996</v>
      </c>
      <c r="R24" s="12">
        <f t="shared" si="4"/>
        <v>-0.31999999999999318</v>
      </c>
      <c r="S24" s="12">
        <f t="shared" si="4"/>
        <v>-2.9200000000000017</v>
      </c>
      <c r="T24" s="12">
        <f t="shared" si="4"/>
        <v>0</v>
      </c>
      <c r="U24" s="12">
        <f>U20</f>
        <v>-5.2599999999999909</v>
      </c>
      <c r="V24" s="12">
        <f t="shared" si="4"/>
        <v>-9.61</v>
      </c>
      <c r="W24" s="12">
        <f t="shared" si="4"/>
        <v>-13.299999999999997</v>
      </c>
      <c r="X24" s="12">
        <f t="shared" si="4"/>
        <v>1.6200000000000045</v>
      </c>
      <c r="Y24" s="12">
        <f t="shared" si="4"/>
        <v>4.9699999999999989</v>
      </c>
      <c r="Z24" s="12">
        <f t="shared" si="4"/>
        <v>-0.25999999999999091</v>
      </c>
    </row>
    <row r="25" spans="2:26" x14ac:dyDescent="0.2">
      <c r="E25" s="4" t="s">
        <v>254</v>
      </c>
      <c r="G25" s="4" t="s">
        <v>178</v>
      </c>
      <c r="J25" s="12">
        <f>IF(J24&gt;0,J24,0)</f>
        <v>0</v>
      </c>
      <c r="K25" s="12">
        <f t="shared" ref="K25:Z25" si="5">IF(K24&gt;0,K24,0)</f>
        <v>2.6400000000000006</v>
      </c>
      <c r="L25" s="12">
        <f t="shared" si="5"/>
        <v>3.0200000000000102</v>
      </c>
      <c r="M25" s="12">
        <f t="shared" si="5"/>
        <v>4.8200000000000074</v>
      </c>
      <c r="N25" s="12">
        <f t="shared" si="5"/>
        <v>2.8700000000000045</v>
      </c>
      <c r="O25" s="12">
        <f t="shared" si="5"/>
        <v>5.6200000000000045</v>
      </c>
      <c r="P25" s="12">
        <f t="shared" si="5"/>
        <v>3.0400000000000063</v>
      </c>
      <c r="Q25" s="12">
        <f t="shared" si="5"/>
        <v>0</v>
      </c>
      <c r="R25" s="12">
        <f t="shared" si="5"/>
        <v>0</v>
      </c>
      <c r="S25" s="12">
        <f t="shared" si="5"/>
        <v>0</v>
      </c>
      <c r="T25" s="12">
        <f t="shared" si="5"/>
        <v>0</v>
      </c>
      <c r="U25" s="12">
        <f t="shared" si="5"/>
        <v>0</v>
      </c>
      <c r="V25" s="12">
        <f t="shared" si="5"/>
        <v>0</v>
      </c>
      <c r="W25" s="12">
        <f t="shared" si="5"/>
        <v>0</v>
      </c>
      <c r="X25" s="12">
        <f t="shared" si="5"/>
        <v>1.6200000000000045</v>
      </c>
      <c r="Y25" s="12">
        <f t="shared" si="5"/>
        <v>4.9699999999999989</v>
      </c>
      <c r="Z25" s="12">
        <f t="shared" si="5"/>
        <v>0</v>
      </c>
    </row>
    <row r="26" spans="2:26" x14ac:dyDescent="0.2">
      <c r="J26" s="12"/>
      <c r="K26" s="12"/>
      <c r="L26" s="12"/>
      <c r="M26" s="12"/>
      <c r="N26" s="12"/>
      <c r="O26" s="12"/>
      <c r="P26" s="12"/>
      <c r="Q26" s="12"/>
      <c r="R26" s="12"/>
      <c r="S26" s="12"/>
      <c r="T26" s="12"/>
      <c r="U26" s="12"/>
      <c r="V26" s="12"/>
      <c r="W26" s="12"/>
      <c r="X26" s="12"/>
      <c r="Y26" s="12"/>
      <c r="Z26" s="12"/>
    </row>
    <row r="27" spans="2:26" x14ac:dyDescent="0.2">
      <c r="E27" s="4" t="str">
        <f>E15</f>
        <v>C-MeX score - maximum</v>
      </c>
      <c r="F27" s="12">
        <f>F15</f>
        <v>80.36</v>
      </c>
      <c r="G27" s="4" t="str">
        <f>G15</f>
        <v>Number</v>
      </c>
      <c r="J27" s="12"/>
      <c r="K27" s="12"/>
      <c r="L27" s="12"/>
      <c r="M27" s="12"/>
      <c r="N27" s="12"/>
      <c r="O27" s="12"/>
      <c r="P27" s="12"/>
      <c r="Q27" s="12"/>
      <c r="R27" s="12"/>
      <c r="S27" s="12"/>
      <c r="T27" s="12"/>
      <c r="U27" s="12"/>
      <c r="V27" s="12"/>
      <c r="W27" s="12"/>
      <c r="X27" s="12"/>
      <c r="Y27" s="12"/>
      <c r="Z27" s="12"/>
    </row>
    <row r="28" spans="2:26" x14ac:dyDescent="0.2">
      <c r="E28" s="4" t="str">
        <f>E14</f>
        <v>C-MeX score - median average</v>
      </c>
      <c r="F28" s="12">
        <f>F14</f>
        <v>74.739999999999995</v>
      </c>
      <c r="G28" s="4" t="str">
        <f>G14</f>
        <v>Number</v>
      </c>
      <c r="J28" s="12"/>
      <c r="K28" s="12"/>
      <c r="L28" s="12"/>
      <c r="M28" s="12"/>
      <c r="N28" s="12"/>
      <c r="O28" s="12"/>
      <c r="P28" s="12"/>
      <c r="Q28" s="12"/>
      <c r="R28" s="12"/>
      <c r="S28" s="12"/>
      <c r="T28" s="12"/>
      <c r="U28" s="12"/>
      <c r="V28" s="12"/>
      <c r="W28" s="12"/>
      <c r="X28" s="12"/>
      <c r="Y28" s="12"/>
      <c r="Z28" s="12"/>
    </row>
    <row r="29" spans="2:26" x14ac:dyDescent="0.2">
      <c r="E29" s="4" t="s">
        <v>255</v>
      </c>
      <c r="F29" s="12">
        <f>F27-F28</f>
        <v>5.6200000000000045</v>
      </c>
      <c r="G29" s="4" t="s">
        <v>178</v>
      </c>
      <c r="J29" s="12"/>
      <c r="K29" s="12"/>
      <c r="L29" s="12"/>
      <c r="M29" s="12"/>
      <c r="N29" s="12"/>
      <c r="O29" s="12"/>
      <c r="P29" s="12"/>
      <c r="Q29" s="12"/>
      <c r="R29" s="12"/>
      <c r="S29" s="12"/>
      <c r="T29" s="12"/>
      <c r="U29" s="12"/>
      <c r="V29" s="12"/>
      <c r="W29" s="12"/>
      <c r="X29" s="12"/>
      <c r="Y29" s="12"/>
      <c r="Z29" s="12"/>
    </row>
    <row r="30" spans="2:26" x14ac:dyDescent="0.2">
      <c r="F30" s="12"/>
      <c r="J30" s="12"/>
      <c r="K30" s="12"/>
      <c r="L30" s="12"/>
      <c r="M30" s="12"/>
      <c r="N30" s="12"/>
      <c r="O30" s="12"/>
      <c r="P30" s="12"/>
      <c r="Q30" s="12"/>
      <c r="R30" s="12"/>
      <c r="S30" s="12"/>
      <c r="T30" s="12"/>
      <c r="U30" s="12"/>
      <c r="V30" s="12"/>
      <c r="W30" s="12"/>
      <c r="X30" s="12"/>
      <c r="Y30" s="12"/>
      <c r="Z30" s="12"/>
    </row>
    <row r="31" spans="2:26" s="9" customFormat="1" x14ac:dyDescent="0.2">
      <c r="E31" s="9" t="str">
        <f>Inputs!E106</f>
        <v>Maximum standard outperformance payment rates</v>
      </c>
      <c r="F31" s="15">
        <f>Inputs!F106</f>
        <v>0.06</v>
      </c>
      <c r="G31" s="9" t="str">
        <f>Inputs!G106</f>
        <v>Percentage</v>
      </c>
    </row>
    <row r="32" spans="2:26" x14ac:dyDescent="0.2">
      <c r="E32" s="4" t="str">
        <f>E29</f>
        <v>Difference between median and maximum score</v>
      </c>
      <c r="F32" s="12">
        <f t="shared" ref="F32:G32" si="6">F29</f>
        <v>5.6200000000000045</v>
      </c>
      <c r="G32" s="4" t="str">
        <f t="shared" si="6"/>
        <v>Number</v>
      </c>
      <c r="J32" s="12"/>
      <c r="K32" s="12"/>
      <c r="L32" s="12"/>
      <c r="M32" s="12"/>
      <c r="N32" s="12"/>
      <c r="O32" s="12"/>
      <c r="P32" s="12"/>
      <c r="Q32" s="12"/>
      <c r="R32" s="12"/>
      <c r="S32" s="12"/>
      <c r="T32" s="12"/>
      <c r="U32" s="12"/>
      <c r="V32" s="12"/>
      <c r="W32" s="12"/>
      <c r="X32" s="12"/>
      <c r="Y32" s="12"/>
      <c r="Z32" s="12"/>
    </row>
    <row r="33" spans="3:27" s="13" customFormat="1" x14ac:dyDescent="0.2">
      <c r="E33" s="13" t="s">
        <v>256</v>
      </c>
      <c r="F33" s="209">
        <f>IF(F32 = 0, 0, F31 / F32)</f>
        <v>1.0676156583629885E-2</v>
      </c>
      <c r="G33" s="13" t="s">
        <v>215</v>
      </c>
    </row>
    <row r="34" spans="3:27" s="13" customFormat="1" x14ac:dyDescent="0.2">
      <c r="F34" s="16"/>
    </row>
    <row r="35" spans="3:27" s="13" customFormat="1" x14ac:dyDescent="0.2">
      <c r="E35" s="13" t="str">
        <f>E25</f>
        <v>Difference from median - positive scores only</v>
      </c>
      <c r="G35" s="13" t="str">
        <f t="shared" ref="G35:Z35" si="7">G25</f>
        <v>Number</v>
      </c>
      <c r="J35" s="14">
        <f t="shared" si="7"/>
        <v>0</v>
      </c>
      <c r="K35" s="14">
        <f t="shared" si="7"/>
        <v>2.6400000000000006</v>
      </c>
      <c r="L35" s="14">
        <f t="shared" si="7"/>
        <v>3.0200000000000102</v>
      </c>
      <c r="M35" s="14">
        <f>M25</f>
        <v>4.8200000000000074</v>
      </c>
      <c r="N35" s="14">
        <f t="shared" si="7"/>
        <v>2.8700000000000045</v>
      </c>
      <c r="O35" s="14">
        <f t="shared" si="7"/>
        <v>5.6200000000000045</v>
      </c>
      <c r="P35" s="14">
        <f t="shared" si="7"/>
        <v>3.0400000000000063</v>
      </c>
      <c r="Q35" s="14">
        <f t="shared" si="7"/>
        <v>0</v>
      </c>
      <c r="R35" s="14">
        <f t="shared" si="7"/>
        <v>0</v>
      </c>
      <c r="S35" s="14">
        <f t="shared" si="7"/>
        <v>0</v>
      </c>
      <c r="T35" s="14">
        <f t="shared" si="7"/>
        <v>0</v>
      </c>
      <c r="U35" s="14">
        <f t="shared" si="7"/>
        <v>0</v>
      </c>
      <c r="V35" s="14">
        <f t="shared" si="7"/>
        <v>0</v>
      </c>
      <c r="W35" s="14">
        <f t="shared" si="7"/>
        <v>0</v>
      </c>
      <c r="X35" s="14">
        <f t="shared" si="7"/>
        <v>1.6200000000000045</v>
      </c>
      <c r="Y35" s="14">
        <f t="shared" si="7"/>
        <v>4.9699999999999989</v>
      </c>
      <c r="Z35" s="14">
        <f t="shared" si="7"/>
        <v>0</v>
      </c>
    </row>
    <row r="36" spans="3:27" s="13" customFormat="1" x14ac:dyDescent="0.2">
      <c r="E36" s="13" t="str">
        <f>E33</f>
        <v>Outperformance rate - % per score</v>
      </c>
      <c r="F36" s="16">
        <f t="shared" ref="F36:G36" si="8">F33</f>
        <v>1.0676156583629885E-2</v>
      </c>
      <c r="G36" s="13" t="str">
        <f t="shared" si="8"/>
        <v>Percentage</v>
      </c>
    </row>
    <row r="37" spans="3:27" s="13" customFormat="1" x14ac:dyDescent="0.2">
      <c r="E37" s="13" t="s">
        <v>257</v>
      </c>
      <c r="F37" s="16"/>
      <c r="G37" s="13" t="s">
        <v>215</v>
      </c>
      <c r="J37" s="18">
        <f>J35*$F36</f>
        <v>0</v>
      </c>
      <c r="K37" s="18">
        <f t="shared" ref="K37:X37" si="9">K35*$F36</f>
        <v>2.8185053380782903E-2</v>
      </c>
      <c r="L37" s="18">
        <f t="shared" si="9"/>
        <v>3.2241992882562361E-2</v>
      </c>
      <c r="M37" s="18">
        <f t="shared" si="9"/>
        <v>5.1459074733096126E-2</v>
      </c>
      <c r="N37" s="18">
        <f t="shared" si="9"/>
        <v>3.0640569395017817E-2</v>
      </c>
      <c r="O37" s="18">
        <f t="shared" si="9"/>
        <v>6.0000000000000005E-2</v>
      </c>
      <c r="P37" s="18">
        <f t="shared" si="9"/>
        <v>3.2455516014234916E-2</v>
      </c>
      <c r="Q37" s="18">
        <f t="shared" si="9"/>
        <v>0</v>
      </c>
      <c r="R37" s="18">
        <f t="shared" si="9"/>
        <v>0</v>
      </c>
      <c r="S37" s="18">
        <f t="shared" si="9"/>
        <v>0</v>
      </c>
      <c r="T37" s="18">
        <f t="shared" si="9"/>
        <v>0</v>
      </c>
      <c r="U37" s="18">
        <f t="shared" si="9"/>
        <v>0</v>
      </c>
      <c r="V37" s="18">
        <f t="shared" si="9"/>
        <v>0</v>
      </c>
      <c r="W37" s="18">
        <f t="shared" si="9"/>
        <v>0</v>
      </c>
      <c r="X37" s="18">
        <f t="shared" si="9"/>
        <v>1.7295373665480462E-2</v>
      </c>
      <c r="Y37" s="18">
        <f>Y35*$F36</f>
        <v>5.3060498220640517E-2</v>
      </c>
      <c r="Z37" s="18">
        <f>Z35*$F36</f>
        <v>0</v>
      </c>
      <c r="AA37" s="18"/>
    </row>
    <row r="38" spans="3:27" x14ac:dyDescent="0.2">
      <c r="J38" s="12"/>
      <c r="K38" s="12"/>
      <c r="L38" s="12"/>
      <c r="M38" s="12"/>
      <c r="N38" s="12"/>
      <c r="O38" s="12"/>
      <c r="P38" s="12"/>
      <c r="Q38" s="12"/>
      <c r="R38" s="12"/>
      <c r="S38" s="12"/>
      <c r="T38" s="12"/>
      <c r="U38" s="12"/>
      <c r="V38" s="12"/>
      <c r="W38" s="12"/>
      <c r="X38" s="12"/>
      <c r="Y38" s="12"/>
      <c r="Z38" s="12"/>
    </row>
    <row r="39" spans="3:27" x14ac:dyDescent="0.2">
      <c r="C39" s="27" t="s">
        <v>258</v>
      </c>
      <c r="J39" s="12"/>
      <c r="K39" s="12"/>
      <c r="L39" s="12"/>
      <c r="M39" s="12"/>
      <c r="N39" s="12"/>
      <c r="O39" s="12"/>
      <c r="P39" s="12"/>
      <c r="Q39" s="12"/>
      <c r="R39" s="12"/>
      <c r="S39" s="12"/>
      <c r="T39" s="12"/>
      <c r="U39" s="12"/>
      <c r="V39" s="12"/>
      <c r="W39" s="12"/>
      <c r="X39" s="12"/>
      <c r="Y39" s="12"/>
      <c r="Z39" s="12"/>
    </row>
    <row r="40" spans="3:27" x14ac:dyDescent="0.2">
      <c r="E40" s="4" t="str">
        <f>E20</f>
        <v>Difference from median</v>
      </c>
      <c r="G40" s="4" t="str">
        <f t="shared" ref="G40:Z40" si="10">G20</f>
        <v>Number</v>
      </c>
      <c r="J40" s="12">
        <f>J20</f>
        <v>-4.6400000000000006</v>
      </c>
      <c r="K40" s="12">
        <f t="shared" si="10"/>
        <v>2.6400000000000006</v>
      </c>
      <c r="L40" s="12">
        <f t="shared" si="10"/>
        <v>3.0200000000000102</v>
      </c>
      <c r="M40" s="12">
        <f t="shared" si="10"/>
        <v>4.8200000000000074</v>
      </c>
      <c r="N40" s="12">
        <f t="shared" si="10"/>
        <v>2.8700000000000045</v>
      </c>
      <c r="O40" s="12">
        <f t="shared" si="10"/>
        <v>5.6200000000000045</v>
      </c>
      <c r="P40" s="12">
        <f t="shared" si="10"/>
        <v>3.0400000000000063</v>
      </c>
      <c r="Q40" s="12">
        <f t="shared" si="10"/>
        <v>-5.019999999999996</v>
      </c>
      <c r="R40" s="12">
        <f t="shared" si="10"/>
        <v>-0.31999999999999318</v>
      </c>
      <c r="S40" s="12">
        <f t="shared" si="10"/>
        <v>-2.9200000000000017</v>
      </c>
      <c r="T40" s="12">
        <f t="shared" si="10"/>
        <v>0</v>
      </c>
      <c r="U40" s="12">
        <f t="shared" si="10"/>
        <v>-5.2599999999999909</v>
      </c>
      <c r="V40" s="12">
        <f t="shared" si="10"/>
        <v>-9.61</v>
      </c>
      <c r="W40" s="12">
        <f t="shared" si="10"/>
        <v>-13.299999999999997</v>
      </c>
      <c r="X40" s="12">
        <f t="shared" si="10"/>
        <v>1.6200000000000045</v>
      </c>
      <c r="Y40" s="12">
        <f t="shared" si="10"/>
        <v>4.9699999999999989</v>
      </c>
      <c r="Z40" s="12">
        <f t="shared" si="10"/>
        <v>-0.25999999999999091</v>
      </c>
    </row>
    <row r="41" spans="3:27" x14ac:dyDescent="0.2">
      <c r="E41" s="4" t="s">
        <v>259</v>
      </c>
      <c r="G41" s="4" t="s">
        <v>178</v>
      </c>
      <c r="J41" s="12">
        <f>IF(J40&lt;0,J40,0)</f>
        <v>-4.6400000000000006</v>
      </c>
      <c r="K41" s="12">
        <f t="shared" ref="K41:Z41" si="11">IF(K40&lt;0,K40,0)</f>
        <v>0</v>
      </c>
      <c r="L41" s="12">
        <f t="shared" si="11"/>
        <v>0</v>
      </c>
      <c r="M41" s="12">
        <f t="shared" si="11"/>
        <v>0</v>
      </c>
      <c r="N41" s="12">
        <f t="shared" si="11"/>
        <v>0</v>
      </c>
      <c r="O41" s="12">
        <f t="shared" si="11"/>
        <v>0</v>
      </c>
      <c r="P41" s="12">
        <f t="shared" si="11"/>
        <v>0</v>
      </c>
      <c r="Q41" s="12">
        <f t="shared" si="11"/>
        <v>-5.019999999999996</v>
      </c>
      <c r="R41" s="12">
        <f t="shared" si="11"/>
        <v>-0.31999999999999318</v>
      </c>
      <c r="S41" s="12">
        <f t="shared" si="11"/>
        <v>-2.9200000000000017</v>
      </c>
      <c r="T41" s="12">
        <f t="shared" si="11"/>
        <v>0</v>
      </c>
      <c r="U41" s="12">
        <f t="shared" si="11"/>
        <v>-5.2599999999999909</v>
      </c>
      <c r="V41" s="12">
        <f t="shared" si="11"/>
        <v>-9.61</v>
      </c>
      <c r="W41" s="12">
        <f t="shared" si="11"/>
        <v>-13.299999999999997</v>
      </c>
      <c r="X41" s="12">
        <f t="shared" si="11"/>
        <v>0</v>
      </c>
      <c r="Y41" s="12">
        <f t="shared" si="11"/>
        <v>0</v>
      </c>
      <c r="Z41" s="12">
        <f t="shared" si="11"/>
        <v>-0.25999999999999091</v>
      </c>
      <c r="AA41" s="12"/>
    </row>
    <row r="42" spans="3:27" x14ac:dyDescent="0.2">
      <c r="J42" s="12"/>
      <c r="K42" s="12"/>
      <c r="L42" s="12"/>
      <c r="M42" s="12"/>
      <c r="N42" s="12"/>
      <c r="O42" s="12"/>
      <c r="P42" s="12"/>
      <c r="Q42" s="12"/>
      <c r="R42" s="12"/>
      <c r="S42" s="12"/>
      <c r="T42" s="12"/>
      <c r="U42" s="12"/>
      <c r="V42" s="12"/>
      <c r="W42" s="12"/>
      <c r="X42" s="12"/>
      <c r="Y42" s="12"/>
      <c r="Z42" s="12"/>
    </row>
    <row r="43" spans="3:27" x14ac:dyDescent="0.2">
      <c r="E43" s="4" t="str">
        <f>E16</f>
        <v>C-MeX score - minimum</v>
      </c>
      <c r="F43" s="12">
        <f>F16</f>
        <v>61.44</v>
      </c>
      <c r="G43" s="4" t="str">
        <f>G16</f>
        <v>Number</v>
      </c>
      <c r="J43" s="12"/>
      <c r="K43" s="12"/>
      <c r="L43" s="12"/>
      <c r="M43" s="12"/>
      <c r="N43" s="12"/>
      <c r="O43" s="12"/>
      <c r="P43" s="12"/>
      <c r="Q43" s="12"/>
      <c r="R43" s="12"/>
      <c r="S43" s="12"/>
      <c r="T43" s="12"/>
      <c r="U43" s="12"/>
      <c r="V43" s="12"/>
      <c r="W43" s="12"/>
      <c r="X43" s="12"/>
      <c r="Y43" s="12"/>
      <c r="Z43" s="12"/>
    </row>
    <row r="44" spans="3:27" x14ac:dyDescent="0.2">
      <c r="E44" s="4" t="str">
        <f>E14</f>
        <v>C-MeX score - median average</v>
      </c>
      <c r="F44" s="12">
        <f>F14</f>
        <v>74.739999999999995</v>
      </c>
      <c r="G44" s="4" t="str">
        <f>G14</f>
        <v>Number</v>
      </c>
      <c r="J44" s="12"/>
      <c r="K44" s="12"/>
      <c r="L44" s="12"/>
      <c r="M44" s="12"/>
      <c r="N44" s="12"/>
      <c r="O44" s="12"/>
      <c r="P44" s="12"/>
      <c r="Q44" s="12"/>
      <c r="R44" s="12"/>
      <c r="S44" s="12"/>
      <c r="T44" s="12"/>
      <c r="U44" s="12"/>
      <c r="V44" s="12"/>
      <c r="W44" s="12"/>
      <c r="X44" s="12"/>
      <c r="Y44" s="12"/>
      <c r="Z44" s="12"/>
    </row>
    <row r="45" spans="3:27" x14ac:dyDescent="0.2">
      <c r="E45" s="4" t="s">
        <v>260</v>
      </c>
      <c r="F45" s="12">
        <f>F43-F44</f>
        <v>-13.299999999999997</v>
      </c>
      <c r="G45" s="4" t="s">
        <v>178</v>
      </c>
      <c r="J45" s="12"/>
      <c r="K45" s="12"/>
      <c r="L45" s="12"/>
      <c r="M45" s="12"/>
      <c r="N45" s="12"/>
      <c r="O45" s="12"/>
      <c r="P45" s="12"/>
      <c r="Q45" s="12"/>
      <c r="R45" s="12"/>
      <c r="S45" s="12"/>
      <c r="T45" s="12"/>
      <c r="U45" s="12"/>
      <c r="V45" s="12"/>
      <c r="W45" s="12"/>
      <c r="X45" s="12"/>
      <c r="Y45" s="12"/>
      <c r="Z45" s="12"/>
    </row>
    <row r="46" spans="3:27" x14ac:dyDescent="0.2">
      <c r="J46" s="12"/>
      <c r="K46" s="12"/>
      <c r="L46" s="12"/>
      <c r="M46" s="12"/>
      <c r="N46" s="12"/>
      <c r="O46" s="12"/>
      <c r="P46" s="12"/>
      <c r="Q46" s="12"/>
      <c r="R46" s="12"/>
      <c r="S46" s="12"/>
      <c r="T46" s="12"/>
      <c r="U46" s="12"/>
      <c r="V46" s="12"/>
      <c r="W46" s="12"/>
      <c r="X46" s="12"/>
      <c r="Y46" s="12"/>
      <c r="Z46" s="12"/>
    </row>
    <row r="47" spans="3:27" s="9" customFormat="1" x14ac:dyDescent="0.2">
      <c r="E47" s="9" t="str">
        <f>Inputs!E107</f>
        <v>Maximum standard underperformance payment rates</v>
      </c>
      <c r="F47" s="15">
        <f>Inputs!F107</f>
        <v>-0.12</v>
      </c>
      <c r="G47" s="9" t="str">
        <f>Inputs!G107</f>
        <v>Percentage</v>
      </c>
    </row>
    <row r="48" spans="3:27" x14ac:dyDescent="0.2">
      <c r="E48" s="4" t="str">
        <f>E45</f>
        <v>Difference between median and minimum score</v>
      </c>
      <c r="F48" s="12">
        <f t="shared" ref="F48:G48" si="12">F45</f>
        <v>-13.299999999999997</v>
      </c>
      <c r="G48" s="4" t="str">
        <f t="shared" si="12"/>
        <v>Number</v>
      </c>
      <c r="J48" s="12"/>
      <c r="K48" s="12"/>
      <c r="L48" s="12"/>
      <c r="M48" s="12"/>
      <c r="N48" s="12"/>
      <c r="O48" s="12"/>
      <c r="P48" s="12"/>
      <c r="Q48" s="12"/>
      <c r="R48" s="12"/>
      <c r="S48" s="12"/>
      <c r="T48" s="12"/>
      <c r="U48" s="12"/>
      <c r="V48" s="12"/>
      <c r="W48" s="12"/>
      <c r="X48" s="12"/>
      <c r="Y48" s="12"/>
      <c r="Z48" s="12"/>
    </row>
    <row r="49" spans="3:26" x14ac:dyDescent="0.2">
      <c r="E49" s="13" t="s">
        <v>261</v>
      </c>
      <c r="F49" s="196">
        <f>IF(F48 = 0, 0, F47 / F48)</f>
        <v>9.0225563909774459E-3</v>
      </c>
      <c r="G49" s="13" t="s">
        <v>215</v>
      </c>
      <c r="J49" s="12"/>
      <c r="K49" s="12"/>
      <c r="L49" s="12"/>
      <c r="M49" s="12"/>
      <c r="N49" s="12"/>
      <c r="O49" s="12"/>
      <c r="P49" s="12"/>
      <c r="Q49" s="12"/>
      <c r="R49" s="12"/>
      <c r="S49" s="12"/>
      <c r="T49" s="12"/>
      <c r="U49" s="12"/>
      <c r="V49" s="12"/>
      <c r="W49" s="12"/>
      <c r="X49" s="12"/>
      <c r="Y49" s="12"/>
      <c r="Z49" s="12"/>
    </row>
    <row r="50" spans="3:26" x14ac:dyDescent="0.2">
      <c r="J50" s="12"/>
      <c r="K50" s="12"/>
      <c r="L50" s="12"/>
      <c r="M50" s="12"/>
      <c r="N50" s="12"/>
      <c r="O50" s="12"/>
      <c r="P50" s="12"/>
      <c r="Q50" s="12"/>
      <c r="R50" s="12"/>
      <c r="S50" s="12"/>
      <c r="T50" s="12"/>
      <c r="U50" s="12"/>
      <c r="V50" s="12"/>
      <c r="W50" s="12"/>
      <c r="X50" s="12"/>
      <c r="Y50" s="12"/>
      <c r="Z50" s="12"/>
    </row>
    <row r="51" spans="3:26" x14ac:dyDescent="0.2">
      <c r="E51" s="4" t="str">
        <f>E41</f>
        <v>Difference from median - negative scores only</v>
      </c>
      <c r="G51" s="4" t="str">
        <f t="shared" ref="G51:Y51" si="13">G41</f>
        <v>Number</v>
      </c>
      <c r="J51" s="12">
        <f t="shared" si="13"/>
        <v>-4.6400000000000006</v>
      </c>
      <c r="K51" s="12">
        <f t="shared" si="13"/>
        <v>0</v>
      </c>
      <c r="L51" s="12">
        <f t="shared" si="13"/>
        <v>0</v>
      </c>
      <c r="M51" s="12">
        <f t="shared" si="13"/>
        <v>0</v>
      </c>
      <c r="N51" s="12">
        <f t="shared" si="13"/>
        <v>0</v>
      </c>
      <c r="O51" s="12">
        <f t="shared" si="13"/>
        <v>0</v>
      </c>
      <c r="P51" s="12">
        <f t="shared" si="13"/>
        <v>0</v>
      </c>
      <c r="Q51" s="12">
        <f t="shared" si="13"/>
        <v>-5.019999999999996</v>
      </c>
      <c r="R51" s="12">
        <f t="shared" si="13"/>
        <v>-0.31999999999999318</v>
      </c>
      <c r="S51" s="12">
        <f t="shared" si="13"/>
        <v>-2.9200000000000017</v>
      </c>
      <c r="T51" s="12">
        <f t="shared" si="13"/>
        <v>0</v>
      </c>
      <c r="U51" s="12">
        <f t="shared" si="13"/>
        <v>-5.2599999999999909</v>
      </c>
      <c r="V51" s="12">
        <f t="shared" si="13"/>
        <v>-9.61</v>
      </c>
      <c r="W51" s="12">
        <f t="shared" si="13"/>
        <v>-13.299999999999997</v>
      </c>
      <c r="X51" s="12">
        <f t="shared" si="13"/>
        <v>0</v>
      </c>
      <c r="Y51" s="12">
        <f t="shared" si="13"/>
        <v>0</v>
      </c>
      <c r="Z51" s="12">
        <f>Z41</f>
        <v>-0.25999999999999091</v>
      </c>
    </row>
    <row r="52" spans="3:26" x14ac:dyDescent="0.2">
      <c r="E52" s="4" t="str">
        <f>E49</f>
        <v>Underperformance rate - % per score</v>
      </c>
      <c r="F52" s="22">
        <f t="shared" ref="F52:G52" si="14">F49</f>
        <v>9.0225563909774459E-3</v>
      </c>
      <c r="G52" s="4" t="str">
        <f t="shared" si="14"/>
        <v>Percentage</v>
      </c>
    </row>
    <row r="53" spans="3:26" s="13" customFormat="1" x14ac:dyDescent="0.2">
      <c r="E53" s="13" t="s">
        <v>262</v>
      </c>
      <c r="G53" s="13" t="s">
        <v>215</v>
      </c>
      <c r="J53" s="16">
        <f>J51*$F52</f>
        <v>-4.1864661654135354E-2</v>
      </c>
      <c r="K53" s="16">
        <f t="shared" ref="K53:Z53" si="15">K51*$F52</f>
        <v>0</v>
      </c>
      <c r="L53" s="16">
        <f t="shared" si="15"/>
        <v>0</v>
      </c>
      <c r="M53" s="16">
        <f t="shared" si="15"/>
        <v>0</v>
      </c>
      <c r="N53" s="16">
        <f t="shared" si="15"/>
        <v>0</v>
      </c>
      <c r="O53" s="16">
        <f t="shared" si="15"/>
        <v>0</v>
      </c>
      <c r="P53" s="16">
        <f>P51*$F52</f>
        <v>0</v>
      </c>
      <c r="Q53" s="16">
        <f t="shared" si="15"/>
        <v>-4.5293233082706739E-2</v>
      </c>
      <c r="R53" s="16">
        <f t="shared" si="15"/>
        <v>-2.8872180451127213E-3</v>
      </c>
      <c r="S53" s="16">
        <f t="shared" si="15"/>
        <v>-2.6345864661654159E-2</v>
      </c>
      <c r="T53" s="16">
        <f t="shared" si="15"/>
        <v>0</v>
      </c>
      <c r="U53" s="16">
        <f t="shared" si="15"/>
        <v>-4.7458646616541283E-2</v>
      </c>
      <c r="V53" s="16">
        <f t="shared" si="15"/>
        <v>-8.6706766917293246E-2</v>
      </c>
      <c r="W53" s="16">
        <f>W51*$F52</f>
        <v>-0.12000000000000001</v>
      </c>
      <c r="X53" s="16">
        <f t="shared" si="15"/>
        <v>0</v>
      </c>
      <c r="Y53" s="16">
        <f t="shared" si="15"/>
        <v>0</v>
      </c>
      <c r="Z53" s="16">
        <f t="shared" si="15"/>
        <v>-2.3458646616540541E-3</v>
      </c>
    </row>
    <row r="54" spans="3:26" x14ac:dyDescent="0.2">
      <c r="J54" s="12"/>
      <c r="K54" s="12"/>
      <c r="L54" s="12"/>
      <c r="M54" s="12"/>
      <c r="N54" s="12"/>
      <c r="O54" s="12"/>
      <c r="P54" s="12"/>
      <c r="Q54" s="12"/>
      <c r="R54" s="12"/>
      <c r="S54" s="12"/>
      <c r="T54" s="12"/>
      <c r="U54" s="12"/>
      <c r="V54" s="12"/>
      <c r="W54" s="12"/>
      <c r="X54" s="12"/>
      <c r="Y54" s="12"/>
      <c r="Z54" s="12"/>
    </row>
    <row r="55" spans="3:26" x14ac:dyDescent="0.2">
      <c r="C55" s="27" t="s">
        <v>263</v>
      </c>
      <c r="J55" s="12"/>
      <c r="K55" s="12"/>
      <c r="L55" s="12"/>
      <c r="M55" s="12"/>
      <c r="N55" s="12"/>
      <c r="O55" s="12"/>
      <c r="P55" s="12"/>
      <c r="Q55" s="12"/>
      <c r="R55" s="12"/>
      <c r="S55" s="12"/>
      <c r="T55" s="12"/>
      <c r="U55" s="12"/>
      <c r="V55" s="12"/>
      <c r="W55" s="12"/>
      <c r="X55" s="12"/>
      <c r="Y55" s="12"/>
      <c r="Z55" s="12"/>
    </row>
    <row r="56" spans="3:26" x14ac:dyDescent="0.2">
      <c r="D56" s="8"/>
      <c r="E56" s="4" t="str">
        <f>E20</f>
        <v>Difference from median</v>
      </c>
      <c r="G56" s="4" t="str">
        <f t="shared" ref="G56:Z56" si="16">G20</f>
        <v>Number</v>
      </c>
      <c r="J56" s="12">
        <f t="shared" si="16"/>
        <v>-4.6400000000000006</v>
      </c>
      <c r="K56" s="12">
        <f t="shared" si="16"/>
        <v>2.6400000000000006</v>
      </c>
      <c r="L56" s="12">
        <f t="shared" si="16"/>
        <v>3.0200000000000102</v>
      </c>
      <c r="M56" s="12">
        <f t="shared" si="16"/>
        <v>4.8200000000000074</v>
      </c>
      <c r="N56" s="12">
        <f t="shared" si="16"/>
        <v>2.8700000000000045</v>
      </c>
      <c r="O56" s="12">
        <f t="shared" si="16"/>
        <v>5.6200000000000045</v>
      </c>
      <c r="P56" s="12">
        <f t="shared" si="16"/>
        <v>3.0400000000000063</v>
      </c>
      <c r="Q56" s="12">
        <f t="shared" si="16"/>
        <v>-5.019999999999996</v>
      </c>
      <c r="R56" s="12">
        <f t="shared" si="16"/>
        <v>-0.31999999999999318</v>
      </c>
      <c r="S56" s="12">
        <f t="shared" si="16"/>
        <v>-2.9200000000000017</v>
      </c>
      <c r="T56" s="12">
        <f t="shared" si="16"/>
        <v>0</v>
      </c>
      <c r="U56" s="12">
        <f t="shared" si="16"/>
        <v>-5.2599999999999909</v>
      </c>
      <c r="V56" s="12">
        <f t="shared" si="16"/>
        <v>-9.61</v>
      </c>
      <c r="W56" s="12">
        <f t="shared" si="16"/>
        <v>-13.299999999999997</v>
      </c>
      <c r="X56" s="12">
        <f t="shared" si="16"/>
        <v>1.6200000000000045</v>
      </c>
      <c r="Y56" s="12">
        <f t="shared" si="16"/>
        <v>4.9699999999999989</v>
      </c>
      <c r="Z56" s="12">
        <f t="shared" si="16"/>
        <v>-0.25999999999999091</v>
      </c>
    </row>
    <row r="57" spans="3:26" s="13" customFormat="1" x14ac:dyDescent="0.2">
      <c r="D57" s="26"/>
      <c r="E57" s="13" t="s">
        <v>264</v>
      </c>
      <c r="G57" s="13" t="s">
        <v>215</v>
      </c>
      <c r="J57" s="16" t="b">
        <f>IF(J56=0,0%)</f>
        <v>0</v>
      </c>
      <c r="K57" s="16" t="b">
        <f t="shared" ref="K57:Z57" si="17">IF(K56=0,0%)</f>
        <v>0</v>
      </c>
      <c r="L57" s="16" t="b">
        <f>IF(L56=0,0%)</f>
        <v>0</v>
      </c>
      <c r="M57" s="16" t="b">
        <f t="shared" si="17"/>
        <v>0</v>
      </c>
      <c r="N57" s="16" t="b">
        <f t="shared" si="17"/>
        <v>0</v>
      </c>
      <c r="O57" s="16" t="b">
        <f t="shared" si="17"/>
        <v>0</v>
      </c>
      <c r="P57" s="16" t="b">
        <f t="shared" si="17"/>
        <v>0</v>
      </c>
      <c r="Q57" s="16" t="b">
        <f t="shared" si="17"/>
        <v>0</v>
      </c>
      <c r="R57" s="16" t="b">
        <f t="shared" si="17"/>
        <v>0</v>
      </c>
      <c r="S57" s="16" t="b">
        <f t="shared" si="17"/>
        <v>0</v>
      </c>
      <c r="T57" s="16">
        <f t="shared" si="17"/>
        <v>0</v>
      </c>
      <c r="U57" s="16" t="b">
        <f t="shared" si="17"/>
        <v>0</v>
      </c>
      <c r="V57" s="16" t="b">
        <f t="shared" si="17"/>
        <v>0</v>
      </c>
      <c r="W57" s="16" t="b">
        <f t="shared" si="17"/>
        <v>0</v>
      </c>
      <c r="X57" s="16" t="b">
        <f t="shared" si="17"/>
        <v>0</v>
      </c>
      <c r="Y57" s="16" t="b">
        <f t="shared" si="17"/>
        <v>0</v>
      </c>
      <c r="Z57" s="16" t="b">
        <f t="shared" si="17"/>
        <v>0</v>
      </c>
    </row>
    <row r="58" spans="3:26" s="19" customFormat="1" x14ac:dyDescent="0.2">
      <c r="D58" s="25"/>
      <c r="J58" s="24"/>
      <c r="K58" s="24"/>
      <c r="L58" s="24"/>
      <c r="M58" s="24"/>
      <c r="N58" s="24"/>
      <c r="O58" s="24"/>
      <c r="P58" s="24"/>
      <c r="Q58" s="24"/>
      <c r="R58" s="24"/>
      <c r="S58" s="24"/>
      <c r="T58" s="24"/>
      <c r="U58" s="24"/>
      <c r="V58" s="24"/>
      <c r="W58" s="24"/>
      <c r="X58" s="24"/>
      <c r="Y58" s="24"/>
      <c r="Z58" s="24"/>
    </row>
    <row r="59" spans="3:26" s="19" customFormat="1" x14ac:dyDescent="0.2">
      <c r="C59" s="28" t="s">
        <v>265</v>
      </c>
      <c r="D59" s="25"/>
      <c r="J59" s="24"/>
      <c r="K59" s="24"/>
      <c r="L59" s="24"/>
      <c r="M59" s="24"/>
      <c r="N59" s="24"/>
      <c r="O59" s="24"/>
      <c r="P59" s="24"/>
      <c r="Q59" s="24"/>
      <c r="R59" s="24"/>
      <c r="S59" s="24"/>
      <c r="T59" s="24"/>
      <c r="U59" s="24"/>
      <c r="V59" s="24"/>
      <c r="W59" s="24"/>
      <c r="X59" s="24"/>
      <c r="Y59" s="24"/>
      <c r="Z59" s="24"/>
    </row>
    <row r="60" spans="3:26" s="13" customFormat="1" x14ac:dyDescent="0.2">
      <c r="D60" s="26"/>
      <c r="E60" s="13" t="str">
        <f>E37</f>
        <v>Company's standard outperformance rate</v>
      </c>
      <c r="G60" s="13" t="str">
        <f t="shared" ref="G60:Z60" si="18">G37</f>
        <v>Percentage</v>
      </c>
      <c r="J60" s="16">
        <f t="shared" si="18"/>
        <v>0</v>
      </c>
      <c r="K60" s="16">
        <f t="shared" si="18"/>
        <v>2.8185053380782903E-2</v>
      </c>
      <c r="L60" s="16">
        <f t="shared" si="18"/>
        <v>3.2241992882562361E-2</v>
      </c>
      <c r="M60" s="16">
        <f t="shared" si="18"/>
        <v>5.1459074733096126E-2</v>
      </c>
      <c r="N60" s="16">
        <f t="shared" si="18"/>
        <v>3.0640569395017817E-2</v>
      </c>
      <c r="O60" s="16">
        <f t="shared" si="18"/>
        <v>6.0000000000000005E-2</v>
      </c>
      <c r="P60" s="16">
        <f t="shared" si="18"/>
        <v>3.2455516014234916E-2</v>
      </c>
      <c r="Q60" s="16">
        <f t="shared" si="18"/>
        <v>0</v>
      </c>
      <c r="R60" s="16">
        <f t="shared" si="18"/>
        <v>0</v>
      </c>
      <c r="S60" s="16">
        <f t="shared" si="18"/>
        <v>0</v>
      </c>
      <c r="T60" s="16">
        <f t="shared" si="18"/>
        <v>0</v>
      </c>
      <c r="U60" s="16">
        <f t="shared" si="18"/>
        <v>0</v>
      </c>
      <c r="V60" s="16">
        <f t="shared" si="18"/>
        <v>0</v>
      </c>
      <c r="W60" s="16">
        <f t="shared" si="18"/>
        <v>0</v>
      </c>
      <c r="X60" s="16">
        <f t="shared" si="18"/>
        <v>1.7295373665480462E-2</v>
      </c>
      <c r="Y60" s="16">
        <f t="shared" si="18"/>
        <v>5.3060498220640517E-2</v>
      </c>
      <c r="Z60" s="16">
        <f t="shared" si="18"/>
        <v>0</v>
      </c>
    </row>
    <row r="61" spans="3:26" s="13" customFormat="1" x14ac:dyDescent="0.2">
      <c r="D61" s="26"/>
      <c r="E61" s="13" t="str">
        <f>E53</f>
        <v>Company's standard underperformance rate</v>
      </c>
      <c r="G61" s="13" t="str">
        <f t="shared" ref="G61:Z61" si="19">G53</f>
        <v>Percentage</v>
      </c>
      <c r="J61" s="16">
        <f>J53</f>
        <v>-4.1864661654135354E-2</v>
      </c>
      <c r="K61" s="16">
        <f t="shared" si="19"/>
        <v>0</v>
      </c>
      <c r="L61" s="16">
        <f t="shared" si="19"/>
        <v>0</v>
      </c>
      <c r="M61" s="16">
        <f t="shared" si="19"/>
        <v>0</v>
      </c>
      <c r="N61" s="16">
        <f t="shared" si="19"/>
        <v>0</v>
      </c>
      <c r="O61" s="16">
        <f t="shared" si="19"/>
        <v>0</v>
      </c>
      <c r="P61" s="16">
        <f t="shared" si="19"/>
        <v>0</v>
      </c>
      <c r="Q61" s="16">
        <f t="shared" si="19"/>
        <v>-4.5293233082706739E-2</v>
      </c>
      <c r="R61" s="16">
        <f t="shared" si="19"/>
        <v>-2.8872180451127213E-3</v>
      </c>
      <c r="S61" s="16">
        <f t="shared" si="19"/>
        <v>-2.6345864661654159E-2</v>
      </c>
      <c r="T61" s="16">
        <f t="shared" si="19"/>
        <v>0</v>
      </c>
      <c r="U61" s="16">
        <f t="shared" si="19"/>
        <v>-4.7458646616541283E-2</v>
      </c>
      <c r="V61" s="16">
        <f t="shared" si="19"/>
        <v>-8.6706766917293246E-2</v>
      </c>
      <c r="W61" s="16">
        <f t="shared" si="19"/>
        <v>-0.12000000000000001</v>
      </c>
      <c r="X61" s="16">
        <f t="shared" si="19"/>
        <v>0</v>
      </c>
      <c r="Y61" s="16">
        <f t="shared" si="19"/>
        <v>0</v>
      </c>
      <c r="Z61" s="16">
        <f t="shared" si="19"/>
        <v>-2.3458646616540541E-3</v>
      </c>
    </row>
    <row r="62" spans="3:26" s="13" customFormat="1" x14ac:dyDescent="0.2">
      <c r="D62" s="26"/>
      <c r="E62" s="13" t="str">
        <f>E57</f>
        <v>Median company's payment rate</v>
      </c>
      <c r="G62" s="13" t="str">
        <f t="shared" ref="G62:Z62" si="20">G57</f>
        <v>Percentage</v>
      </c>
      <c r="J62" s="16" t="b">
        <f t="shared" si="20"/>
        <v>0</v>
      </c>
      <c r="K62" s="16" t="b">
        <f t="shared" si="20"/>
        <v>0</v>
      </c>
      <c r="L62" s="16" t="b">
        <f t="shared" si="20"/>
        <v>0</v>
      </c>
      <c r="M62" s="16" t="b">
        <f t="shared" si="20"/>
        <v>0</v>
      </c>
      <c r="N62" s="16" t="b">
        <f t="shared" si="20"/>
        <v>0</v>
      </c>
      <c r="O62" s="16" t="b">
        <f t="shared" si="20"/>
        <v>0</v>
      </c>
      <c r="P62" s="16" t="b">
        <f t="shared" si="20"/>
        <v>0</v>
      </c>
      <c r="Q62" s="16" t="b">
        <f t="shared" si="20"/>
        <v>0</v>
      </c>
      <c r="R62" s="16" t="b">
        <f t="shared" si="20"/>
        <v>0</v>
      </c>
      <c r="S62" s="16" t="b">
        <f t="shared" si="20"/>
        <v>0</v>
      </c>
      <c r="T62" s="16">
        <f t="shared" si="20"/>
        <v>0</v>
      </c>
      <c r="U62" s="16" t="b">
        <f t="shared" si="20"/>
        <v>0</v>
      </c>
      <c r="V62" s="16" t="b">
        <f t="shared" si="20"/>
        <v>0</v>
      </c>
      <c r="W62" s="16" t="b">
        <f t="shared" si="20"/>
        <v>0</v>
      </c>
      <c r="X62" s="16" t="b">
        <f t="shared" si="20"/>
        <v>0</v>
      </c>
      <c r="Y62" s="16" t="b">
        <f t="shared" si="20"/>
        <v>0</v>
      </c>
      <c r="Z62" s="16" t="b">
        <f t="shared" si="20"/>
        <v>0</v>
      </c>
    </row>
    <row r="63" spans="3:26" s="19" customFormat="1" x14ac:dyDescent="0.2">
      <c r="D63" s="25"/>
      <c r="E63" s="19" t="s">
        <v>265</v>
      </c>
      <c r="G63" s="19" t="s">
        <v>215</v>
      </c>
      <c r="J63" s="24">
        <f>SUM(J60:J62)</f>
        <v>-4.1864661654135354E-2</v>
      </c>
      <c r="K63" s="24">
        <f t="shared" ref="K63:Y63" si="21">SUM(K60:K62)</f>
        <v>2.8185053380782903E-2</v>
      </c>
      <c r="L63" s="24">
        <f t="shared" si="21"/>
        <v>3.2241992882562361E-2</v>
      </c>
      <c r="M63" s="24">
        <f t="shared" si="21"/>
        <v>5.1459074733096126E-2</v>
      </c>
      <c r="N63" s="24">
        <f t="shared" si="21"/>
        <v>3.0640569395017817E-2</v>
      </c>
      <c r="O63" s="24">
        <f t="shared" si="21"/>
        <v>6.0000000000000005E-2</v>
      </c>
      <c r="P63" s="24">
        <f t="shared" si="21"/>
        <v>3.2455516014234916E-2</v>
      </c>
      <c r="Q63" s="24">
        <f t="shared" si="21"/>
        <v>-4.5293233082706739E-2</v>
      </c>
      <c r="R63" s="24">
        <f t="shared" si="21"/>
        <v>-2.8872180451127213E-3</v>
      </c>
      <c r="S63" s="24">
        <f t="shared" si="21"/>
        <v>-2.6345864661654159E-2</v>
      </c>
      <c r="T63" s="24">
        <f t="shared" si="21"/>
        <v>0</v>
      </c>
      <c r="U63" s="24">
        <f t="shared" si="21"/>
        <v>-4.7458646616541283E-2</v>
      </c>
      <c r="V63" s="24">
        <f t="shared" si="21"/>
        <v>-8.6706766917293246E-2</v>
      </c>
      <c r="W63" s="24">
        <f>SUM(W60:W62)</f>
        <v>-0.12000000000000001</v>
      </c>
      <c r="X63" s="24">
        <f>SUM(X60:X62)</f>
        <v>1.7295373665480462E-2</v>
      </c>
      <c r="Y63" s="24">
        <f t="shared" si="21"/>
        <v>5.3060498220640517E-2</v>
      </c>
      <c r="Z63" s="24">
        <f>SUM(Z60:Z62)</f>
        <v>-2.3458646616540541E-3</v>
      </c>
    </row>
    <row r="65" spans="1:26" s="2" customFormat="1" ht="13.5" x14ac:dyDescent="0.25">
      <c r="A65" s="2" t="s">
        <v>217</v>
      </c>
    </row>
    <row r="66" spans="1:26" s="9" customFormat="1" x14ac:dyDescent="0.2">
      <c r="E66" s="198" t="str">
        <f>Inputs!E118</f>
        <v>Flag</v>
      </c>
      <c r="F66" s="198">
        <f>Inputs!F118</f>
        <v>1</v>
      </c>
      <c r="G66" s="198" t="str">
        <f>Inputs!G118</f>
        <v>0 = DD, 1 = FD</v>
      </c>
    </row>
    <row r="67" spans="1:26" x14ac:dyDescent="0.2">
      <c r="B67" s="8" t="s">
        <v>266</v>
      </c>
    </row>
    <row r="68" spans="1:26" s="9" customFormat="1" x14ac:dyDescent="0.2">
      <c r="B68" s="10"/>
      <c r="E68" s="9" t="str">
        <f>Inputs!E110</f>
        <v>One of the top 'x' performers on C-MeX</v>
      </c>
      <c r="F68" s="9">
        <f>Inputs!F110</f>
        <v>3</v>
      </c>
      <c r="G68" s="9" t="str">
        <f>Inputs!G110</f>
        <v>Number</v>
      </c>
    </row>
    <row r="69" spans="1:26" x14ac:dyDescent="0.2">
      <c r="E69" s="4" t="str">
        <f>E7</f>
        <v>C-MeX score - rank</v>
      </c>
      <c r="G69" s="4" t="str">
        <f>G7</f>
        <v>Number</v>
      </c>
      <c r="J69" s="4">
        <f t="shared" ref="J69:Z69" si="22">J7</f>
        <v>13</v>
      </c>
      <c r="K69" s="4">
        <f t="shared" si="22"/>
        <v>7</v>
      </c>
      <c r="L69" s="4">
        <f t="shared" si="22"/>
        <v>5</v>
      </c>
      <c r="M69" s="4">
        <f t="shared" si="22"/>
        <v>3</v>
      </c>
      <c r="N69" s="4">
        <f t="shared" si="22"/>
        <v>6</v>
      </c>
      <c r="O69" s="4">
        <f t="shared" si="22"/>
        <v>1</v>
      </c>
      <c r="P69" s="4">
        <f t="shared" si="22"/>
        <v>4</v>
      </c>
      <c r="Q69" s="4">
        <f t="shared" si="22"/>
        <v>14</v>
      </c>
      <c r="R69" s="4">
        <f>R7</f>
        <v>11</v>
      </c>
      <c r="S69" s="4">
        <f t="shared" si="22"/>
        <v>12</v>
      </c>
      <c r="T69" s="4">
        <f t="shared" si="22"/>
        <v>9</v>
      </c>
      <c r="U69" s="4">
        <f t="shared" si="22"/>
        <v>15</v>
      </c>
      <c r="V69" s="4">
        <f t="shared" si="22"/>
        <v>16</v>
      </c>
      <c r="W69" s="4">
        <f t="shared" si="22"/>
        <v>17</v>
      </c>
      <c r="X69" s="4">
        <f t="shared" si="22"/>
        <v>8</v>
      </c>
      <c r="Y69" s="4">
        <f t="shared" si="22"/>
        <v>2</v>
      </c>
      <c r="Z69" s="4">
        <f t="shared" si="22"/>
        <v>10</v>
      </c>
    </row>
    <row r="70" spans="1:26" x14ac:dyDescent="0.2">
      <c r="E70" s="4" t="s">
        <v>267</v>
      </c>
      <c r="G70" s="4" t="s">
        <v>268</v>
      </c>
      <c r="J70" s="4" t="b">
        <f>IF(J69&lt;=$F68,TRUE,FALSE)</f>
        <v>0</v>
      </c>
      <c r="K70" s="4" t="b">
        <f t="shared" ref="K70:Z70" si="23">IF(K69&lt;=$F68,TRUE,FALSE)</f>
        <v>0</v>
      </c>
      <c r="L70" s="4" t="b">
        <f t="shared" si="23"/>
        <v>0</v>
      </c>
      <c r="M70" s="4" t="b">
        <f t="shared" si="23"/>
        <v>1</v>
      </c>
      <c r="N70" s="4" t="b">
        <f t="shared" si="23"/>
        <v>0</v>
      </c>
      <c r="O70" s="4" t="b">
        <f t="shared" si="23"/>
        <v>1</v>
      </c>
      <c r="P70" s="4" t="b">
        <f t="shared" si="23"/>
        <v>0</v>
      </c>
      <c r="Q70" s="4" t="b">
        <f t="shared" si="23"/>
        <v>0</v>
      </c>
      <c r="R70" s="4" t="b">
        <f t="shared" si="23"/>
        <v>0</v>
      </c>
      <c r="S70" s="4" t="b">
        <f t="shared" si="23"/>
        <v>0</v>
      </c>
      <c r="T70" s="4" t="b">
        <f t="shared" si="23"/>
        <v>0</v>
      </c>
      <c r="U70" s="4" t="b">
        <f t="shared" si="23"/>
        <v>0</v>
      </c>
      <c r="V70" s="4" t="b">
        <f t="shared" si="23"/>
        <v>0</v>
      </c>
      <c r="W70" s="4" t="b">
        <f t="shared" si="23"/>
        <v>0</v>
      </c>
      <c r="X70" s="4" t="b">
        <f t="shared" si="23"/>
        <v>0</v>
      </c>
      <c r="Y70" s="4" t="b">
        <f t="shared" si="23"/>
        <v>1</v>
      </c>
      <c r="Z70" s="4" t="b">
        <f t="shared" si="23"/>
        <v>0</v>
      </c>
    </row>
    <row r="72" spans="1:26" x14ac:dyDescent="0.2">
      <c r="B72" s="8" t="s">
        <v>269</v>
      </c>
    </row>
    <row r="73" spans="1:26" s="9" customFormat="1" x14ac:dyDescent="0.2">
      <c r="E73" s="9" t="str">
        <f>Inputs!E99</f>
        <v>Complaints per 10,000 connections</v>
      </c>
      <c r="G73" s="9" t="str">
        <f>Inputs!G99</f>
        <v>Number</v>
      </c>
      <c r="J73" s="11">
        <f>Inputs!J99</f>
        <v>68.162237391477234</v>
      </c>
      <c r="K73" s="11">
        <f>Inputs!K99</f>
        <v>38.024658044703102</v>
      </c>
      <c r="L73" s="11">
        <f>Inputs!L99</f>
        <v>23.407184642159823</v>
      </c>
      <c r="M73" s="11">
        <f>Inputs!M99</f>
        <v>62.092410156792006</v>
      </c>
      <c r="N73" s="11">
        <f>Inputs!N99</f>
        <v>22.509122640012695</v>
      </c>
      <c r="O73" s="11">
        <f>Inputs!O99</f>
        <v>33.917511370515825</v>
      </c>
      <c r="P73" s="11">
        <f>Inputs!P99</f>
        <v>24.265829913911016</v>
      </c>
      <c r="Q73" s="11">
        <f>Inputs!Q99</f>
        <v>50.682571422640748</v>
      </c>
      <c r="R73" s="11">
        <f>Inputs!R99</f>
        <v>31.153419863236444</v>
      </c>
      <c r="S73" s="11">
        <f>Inputs!S99</f>
        <v>49.846777374923313</v>
      </c>
      <c r="T73" s="11">
        <f>Inputs!T99</f>
        <v>65.095454748204645</v>
      </c>
      <c r="U73" s="11">
        <f>Inputs!U99</f>
        <v>79.024133604668094</v>
      </c>
      <c r="V73" s="11">
        <f>Inputs!V99</f>
        <v>91.332618716761061</v>
      </c>
      <c r="W73" s="11">
        <f>Inputs!W99</f>
        <v>139.04627227690318</v>
      </c>
      <c r="X73" s="11">
        <f>Inputs!X99</f>
        <v>63.575979033598855</v>
      </c>
      <c r="Y73" s="11">
        <f>Inputs!Y99</f>
        <v>25.616219333603198</v>
      </c>
      <c r="Z73" s="11">
        <f>Inputs!Z99</f>
        <v>97.563099330085691</v>
      </c>
    </row>
    <row r="74" spans="1:26" x14ac:dyDescent="0.2">
      <c r="E74" s="4" t="s">
        <v>270</v>
      </c>
      <c r="F74" s="12">
        <f>AVERAGE(J73:Z73)</f>
        <v>56.783264697893941</v>
      </c>
    </row>
    <row r="75" spans="1:26" x14ac:dyDescent="0.2">
      <c r="E75" s="4" t="s">
        <v>271</v>
      </c>
      <c r="G75" s="4" t="s">
        <v>268</v>
      </c>
      <c r="J75" s="4" t="b">
        <f>IF(J73&lt;$F74,TRUE,FALSE)</f>
        <v>0</v>
      </c>
      <c r="K75" s="4" t="b">
        <f t="shared" ref="K75:Z75" si="24">IF(K73&lt;$F74,TRUE,FALSE)</f>
        <v>1</v>
      </c>
      <c r="L75" s="4" t="b">
        <f t="shared" si="24"/>
        <v>1</v>
      </c>
      <c r="M75" s="4" t="b">
        <f t="shared" si="24"/>
        <v>0</v>
      </c>
      <c r="N75" s="4" t="b">
        <f t="shared" si="24"/>
        <v>1</v>
      </c>
      <c r="O75" s="4" t="b">
        <f t="shared" si="24"/>
        <v>1</v>
      </c>
      <c r="P75" s="4" t="b">
        <f t="shared" si="24"/>
        <v>1</v>
      </c>
      <c r="Q75" s="4" t="b">
        <f t="shared" si="24"/>
        <v>1</v>
      </c>
      <c r="R75" s="4" t="b">
        <f t="shared" si="24"/>
        <v>1</v>
      </c>
      <c r="S75" s="4" t="b">
        <f t="shared" si="24"/>
        <v>1</v>
      </c>
      <c r="T75" s="4" t="b">
        <f t="shared" si="24"/>
        <v>0</v>
      </c>
      <c r="U75" s="4" t="b">
        <f t="shared" si="24"/>
        <v>0</v>
      </c>
      <c r="V75" s="4" t="b">
        <f t="shared" si="24"/>
        <v>0</v>
      </c>
      <c r="W75" s="4" t="b">
        <f t="shared" si="24"/>
        <v>0</v>
      </c>
      <c r="X75" s="4" t="b">
        <f t="shared" si="24"/>
        <v>0</v>
      </c>
      <c r="Y75" s="4" t="b">
        <f t="shared" si="24"/>
        <v>1</v>
      </c>
      <c r="Z75" s="4" t="b">
        <f t="shared" si="24"/>
        <v>0</v>
      </c>
    </row>
    <row r="77" spans="1:26" x14ac:dyDescent="0.2">
      <c r="B77" s="8" t="s">
        <v>272</v>
      </c>
    </row>
    <row r="78" spans="1:26" s="13" customFormat="1" x14ac:dyDescent="0.2">
      <c r="B78" s="26"/>
      <c r="E78" s="13" t="str">
        <f>E6</f>
        <v>C-MeX score</v>
      </c>
      <c r="G78" s="13" t="str">
        <f t="shared" ref="G78:Z78" si="25">G6</f>
        <v>Number</v>
      </c>
      <c r="J78" s="14">
        <f t="shared" si="25"/>
        <v>70.099999999999994</v>
      </c>
      <c r="K78" s="14">
        <f t="shared" si="25"/>
        <v>77.38</v>
      </c>
      <c r="L78" s="14">
        <f t="shared" si="25"/>
        <v>77.760000000000005</v>
      </c>
      <c r="M78" s="14">
        <f t="shared" si="25"/>
        <v>79.56</v>
      </c>
      <c r="N78" s="14">
        <f t="shared" si="25"/>
        <v>77.61</v>
      </c>
      <c r="O78" s="14">
        <f t="shared" si="25"/>
        <v>80.36</v>
      </c>
      <c r="P78" s="14">
        <f t="shared" si="25"/>
        <v>77.78</v>
      </c>
      <c r="Q78" s="14">
        <f t="shared" si="25"/>
        <v>69.72</v>
      </c>
      <c r="R78" s="14">
        <f t="shared" si="25"/>
        <v>74.42</v>
      </c>
      <c r="S78" s="14">
        <f t="shared" si="25"/>
        <v>71.819999999999993</v>
      </c>
      <c r="T78" s="14">
        <f t="shared" si="25"/>
        <v>74.739999999999995</v>
      </c>
      <c r="U78" s="14">
        <f t="shared" si="25"/>
        <v>69.48</v>
      </c>
      <c r="V78" s="14">
        <f t="shared" si="25"/>
        <v>65.13</v>
      </c>
      <c r="W78" s="14">
        <f t="shared" si="25"/>
        <v>61.44</v>
      </c>
      <c r="X78" s="14">
        <f t="shared" si="25"/>
        <v>76.36</v>
      </c>
      <c r="Y78" s="14">
        <f t="shared" si="25"/>
        <v>79.709999999999994</v>
      </c>
      <c r="Z78" s="14">
        <f t="shared" si="25"/>
        <v>74.48</v>
      </c>
    </row>
    <row r="79" spans="1:26" x14ac:dyDescent="0.2">
      <c r="B79" s="8"/>
      <c r="E79" s="4" t="s">
        <v>273</v>
      </c>
      <c r="F79" s="12">
        <f>AVERAGE(J78:Z78)</f>
        <v>73.991176470588229</v>
      </c>
      <c r="G79" s="4" t="s">
        <v>178</v>
      </c>
    </row>
    <row r="80" spans="1:26" x14ac:dyDescent="0.2">
      <c r="B80" s="8"/>
      <c r="E80" s="4" t="s">
        <v>274</v>
      </c>
      <c r="F80" s="12">
        <f>_xlfn.STDEV.P(J78:Z78)</f>
        <v>5.1934017893215936</v>
      </c>
      <c r="G80" s="4" t="s">
        <v>178</v>
      </c>
    </row>
    <row r="81" spans="5:26" s="9" customFormat="1" x14ac:dyDescent="0.2"/>
    <row r="82" spans="5:26" s="9" customFormat="1" x14ac:dyDescent="0.2">
      <c r="E82" s="9" t="str">
        <f>Inputs!E100</f>
        <v>UKCSI score</v>
      </c>
      <c r="G82" s="9" t="str">
        <f>Inputs!G100</f>
        <v>Number</v>
      </c>
      <c r="J82" s="11">
        <f>IF(Inputs!J100=0, "", Inputs!J100)</f>
        <v>70.2</v>
      </c>
      <c r="K82" s="11">
        <f>IF(Inputs!K100=0, "", Inputs!K100)</f>
        <v>70.099999999999994</v>
      </c>
      <c r="L82" s="11">
        <f>IF(Inputs!L100=0, "", Inputs!L100)</f>
        <v>73.5</v>
      </c>
      <c r="M82" s="11">
        <f>IF(Inputs!M100=0, "", Inputs!M100)</f>
        <v>71.8</v>
      </c>
      <c r="N82" s="11" t="str">
        <f>IF(Inputs!N100=0, "", Inputs!N100)</f>
        <v/>
      </c>
      <c r="O82" s="11">
        <f>IF(Inputs!O100=0, "", Inputs!O100)</f>
        <v>73.2</v>
      </c>
      <c r="P82" s="11" t="str">
        <f>IF(Inputs!P100=0, "", Inputs!P100)</f>
        <v/>
      </c>
      <c r="Q82" s="11" t="str">
        <f>IF(Inputs!Q100=0, "", Inputs!Q100)</f>
        <v/>
      </c>
      <c r="R82" s="11">
        <f>IF(Inputs!R100=0, "", Inputs!R100)</f>
        <v>70.900000000000006</v>
      </c>
      <c r="S82" s="11">
        <f>IF(Inputs!S100=0, "", Inputs!S100)</f>
        <v>66.5</v>
      </c>
      <c r="T82" s="11">
        <f>IF(Inputs!T100=0, "", Inputs!T100)</f>
        <v>71.7</v>
      </c>
      <c r="U82" s="11">
        <f>IF(Inputs!U100=0, "", Inputs!U100)</f>
        <v>65.5</v>
      </c>
      <c r="V82" s="11">
        <f>IF(Inputs!V100=0, "", Inputs!V100)</f>
        <v>60.9</v>
      </c>
      <c r="W82" s="11">
        <f>IF(Inputs!W100=0, "", Inputs!W100)</f>
        <v>63.3</v>
      </c>
      <c r="X82" s="11">
        <f>IF(Inputs!X100=0, "", Inputs!X100)</f>
        <v>70.7</v>
      </c>
      <c r="Y82" s="11">
        <f>IF(Inputs!Y100=0, "", Inputs!Y100)</f>
        <v>70</v>
      </c>
      <c r="Z82" s="11">
        <f>IF(Inputs!Z100=0, "", Inputs!Z100)</f>
        <v>70</v>
      </c>
    </row>
    <row r="83" spans="5:26" x14ac:dyDescent="0.2">
      <c r="E83" s="4" t="s">
        <v>275</v>
      </c>
      <c r="F83" s="197">
        <f>IF(F$66 = 0, 0, AVERAGE(J82:Z82))</f>
        <v>69.164285714285725</v>
      </c>
      <c r="G83" s="4" t="s">
        <v>178</v>
      </c>
    </row>
    <row r="84" spans="5:26" x14ac:dyDescent="0.2">
      <c r="E84" s="4" t="s">
        <v>276</v>
      </c>
      <c r="F84" s="197">
        <f>IF(F$66 = 0, 0, _xlfn.STDEV.P(J82:Z82))</f>
        <v>3.5895895393797463</v>
      </c>
      <c r="G84" s="4" t="s">
        <v>178</v>
      </c>
    </row>
    <row r="85" spans="5:26" x14ac:dyDescent="0.2">
      <c r="F85" s="12"/>
    </row>
    <row r="86" spans="5:26" x14ac:dyDescent="0.2">
      <c r="E86" s="4" t="str">
        <f>E79</f>
        <v>Average of C-MeX scores</v>
      </c>
      <c r="F86" s="12">
        <f>F79</f>
        <v>73.991176470588229</v>
      </c>
      <c r="G86" s="4" t="str">
        <f>G79</f>
        <v>Number</v>
      </c>
    </row>
    <row r="87" spans="5:26" s="9" customFormat="1" x14ac:dyDescent="0.2">
      <c r="E87" s="9" t="str">
        <f>Inputs!E71</f>
        <v>Upper quartile of all-sector UKCSI scores</v>
      </c>
      <c r="F87" s="11">
        <f>Inputs!F71</f>
        <v>79.400000000000006</v>
      </c>
      <c r="G87" s="9" t="str">
        <f>Inputs!G71</f>
        <v>Number</v>
      </c>
    </row>
    <row r="88" spans="5:26" x14ac:dyDescent="0.2">
      <c r="E88" s="4" t="str">
        <f>E83</f>
        <v>Average of water company UKCSI scores</v>
      </c>
      <c r="F88" s="12">
        <f>F83</f>
        <v>69.164285714285725</v>
      </c>
      <c r="G88" s="4" t="str">
        <f t="shared" ref="G88" si="26">G83</f>
        <v>Number</v>
      </c>
    </row>
    <row r="89" spans="5:26" x14ac:dyDescent="0.2">
      <c r="E89" s="4" t="str">
        <f>E84</f>
        <v>Standard deviation of water company UKCSI scores</v>
      </c>
      <c r="F89" s="12">
        <f>F84</f>
        <v>3.5895895393797463</v>
      </c>
      <c r="G89" s="4" t="str">
        <f t="shared" ref="G89" si="27">G84</f>
        <v>Number</v>
      </c>
    </row>
    <row r="90" spans="5:26" x14ac:dyDescent="0.2">
      <c r="E90" s="4" t="str">
        <f>E80</f>
        <v>Standard deviation of C-MeX scores</v>
      </c>
      <c r="F90" s="12">
        <f>F80</f>
        <v>5.1934017893215936</v>
      </c>
      <c r="G90" s="4" t="str">
        <f>G80</f>
        <v>Number</v>
      </c>
    </row>
    <row r="91" spans="5:26" x14ac:dyDescent="0.2">
      <c r="E91" s="4" t="s">
        <v>200</v>
      </c>
      <c r="F91" s="197">
        <f>IF(F$66 = 0, 0, F86 + (F87 - F88) / F89 * F90)</f>
        <v>88.800161259305455</v>
      </c>
      <c r="G91" s="4" t="s">
        <v>178</v>
      </c>
    </row>
    <row r="93" spans="5:26" s="13" customFormat="1" x14ac:dyDescent="0.2">
      <c r="E93" s="13" t="str">
        <f>E6</f>
        <v>C-MeX score</v>
      </c>
      <c r="G93" s="13" t="str">
        <f>G6</f>
        <v>Number</v>
      </c>
      <c r="J93" s="14">
        <f t="shared" ref="J93:Z93" si="28">J6</f>
        <v>70.099999999999994</v>
      </c>
      <c r="K93" s="14">
        <f t="shared" si="28"/>
        <v>77.38</v>
      </c>
      <c r="L93" s="14">
        <f t="shared" si="28"/>
        <v>77.760000000000005</v>
      </c>
      <c r="M93" s="14">
        <f t="shared" si="28"/>
        <v>79.56</v>
      </c>
      <c r="N93" s="14">
        <f t="shared" si="28"/>
        <v>77.61</v>
      </c>
      <c r="O93" s="14">
        <f t="shared" si="28"/>
        <v>80.36</v>
      </c>
      <c r="P93" s="14">
        <f t="shared" si="28"/>
        <v>77.78</v>
      </c>
      <c r="Q93" s="14">
        <f t="shared" si="28"/>
        <v>69.72</v>
      </c>
      <c r="R93" s="14">
        <f t="shared" si="28"/>
        <v>74.42</v>
      </c>
      <c r="S93" s="14">
        <f t="shared" si="28"/>
        <v>71.819999999999993</v>
      </c>
      <c r="T93" s="14">
        <f t="shared" si="28"/>
        <v>74.739999999999995</v>
      </c>
      <c r="U93" s="14">
        <f t="shared" si="28"/>
        <v>69.48</v>
      </c>
      <c r="V93" s="14">
        <f t="shared" si="28"/>
        <v>65.13</v>
      </c>
      <c r="W93" s="14">
        <f t="shared" si="28"/>
        <v>61.44</v>
      </c>
      <c r="X93" s="14">
        <f t="shared" si="28"/>
        <v>76.36</v>
      </c>
      <c r="Y93" s="14">
        <f t="shared" si="28"/>
        <v>79.709999999999994</v>
      </c>
      <c r="Z93" s="14">
        <f t="shared" si="28"/>
        <v>74.48</v>
      </c>
    </row>
    <row r="94" spans="5:26" s="13" customFormat="1" x14ac:dyDescent="0.2">
      <c r="E94" s="13" t="str">
        <f>E91</f>
        <v>C-MeX all-sector upper quartile threshold</v>
      </c>
      <c r="F94" s="14">
        <f>F91</f>
        <v>88.800161259305455</v>
      </c>
      <c r="G94" s="13" t="str">
        <f t="shared" ref="G94" si="29">G91</f>
        <v>Number</v>
      </c>
      <c r="J94" s="14"/>
      <c r="K94" s="14"/>
      <c r="L94" s="14"/>
      <c r="M94" s="14"/>
      <c r="N94" s="14"/>
      <c r="O94" s="14"/>
      <c r="P94" s="14"/>
      <c r="Q94" s="14"/>
      <c r="R94" s="14"/>
      <c r="S94" s="14"/>
      <c r="T94" s="14"/>
      <c r="U94" s="14"/>
      <c r="V94" s="14"/>
      <c r="W94" s="14"/>
      <c r="X94" s="14"/>
      <c r="Y94" s="14"/>
      <c r="Z94" s="14"/>
    </row>
    <row r="95" spans="5:26" x14ac:dyDescent="0.2">
      <c r="E95" s="4" t="s">
        <v>277</v>
      </c>
      <c r="G95" s="4" t="s">
        <v>268</v>
      </c>
      <c r="J95" s="4" t="b">
        <f>IF(J93&gt;$F94,TRUE,FALSE)</f>
        <v>0</v>
      </c>
      <c r="K95" s="4" t="b">
        <f>IF(K93&gt;$F94,TRUE,FALSE)</f>
        <v>0</v>
      </c>
      <c r="L95" s="4" t="b">
        <f t="shared" ref="L95:Y95" si="30">IF(L93&gt;$F94,TRUE,FALSE)</f>
        <v>0</v>
      </c>
      <c r="M95" s="4" t="b">
        <f t="shared" si="30"/>
        <v>0</v>
      </c>
      <c r="N95" s="4" t="b">
        <f>IF(N93&gt;$F94,TRUE,FALSE)</f>
        <v>0</v>
      </c>
      <c r="O95" s="4" t="b">
        <f t="shared" si="30"/>
        <v>0</v>
      </c>
      <c r="P95" s="4" t="b">
        <f t="shared" si="30"/>
        <v>0</v>
      </c>
      <c r="Q95" s="4" t="b">
        <f t="shared" si="30"/>
        <v>0</v>
      </c>
      <c r="R95" s="4" t="b">
        <f t="shared" si="30"/>
        <v>0</v>
      </c>
      <c r="S95" s="4" t="b">
        <f t="shared" si="30"/>
        <v>0</v>
      </c>
      <c r="T95" s="4" t="b">
        <f t="shared" si="30"/>
        <v>0</v>
      </c>
      <c r="U95" s="4" t="b">
        <f t="shared" si="30"/>
        <v>0</v>
      </c>
      <c r="V95" s="4" t="b">
        <f t="shared" si="30"/>
        <v>0</v>
      </c>
      <c r="W95" s="4" t="b">
        <f>IF(W93&gt;$F94,TRUE,FALSE)</f>
        <v>0</v>
      </c>
      <c r="X95" s="4" t="b">
        <f t="shared" si="30"/>
        <v>0</v>
      </c>
      <c r="Y95" s="4" t="b">
        <f t="shared" si="30"/>
        <v>0</v>
      </c>
      <c r="Z95" s="4" t="b">
        <f>IF(Z93&gt;$F94,TRUE,FALSE)</f>
        <v>0</v>
      </c>
    </row>
    <row r="97" spans="2:26" x14ac:dyDescent="0.2">
      <c r="B97" s="8" t="s">
        <v>278</v>
      </c>
    </row>
    <row r="98" spans="2:26" x14ac:dyDescent="0.2">
      <c r="E98" s="4" t="str">
        <f>E70</f>
        <v>Is company a top performer in C-MeX?</v>
      </c>
      <c r="G98" s="4" t="str">
        <f>G70</f>
        <v>TRUE/FALSE</v>
      </c>
      <c r="J98" s="4" t="b">
        <f t="shared" ref="J98:Z98" si="31">J70</f>
        <v>0</v>
      </c>
      <c r="K98" s="4" t="b">
        <f t="shared" si="31"/>
        <v>0</v>
      </c>
      <c r="L98" s="4" t="b">
        <f t="shared" si="31"/>
        <v>0</v>
      </c>
      <c r="M98" s="4" t="b">
        <f t="shared" si="31"/>
        <v>1</v>
      </c>
      <c r="N98" s="4" t="b">
        <f t="shared" si="31"/>
        <v>0</v>
      </c>
      <c r="O98" s="4" t="b">
        <f t="shared" si="31"/>
        <v>1</v>
      </c>
      <c r="P98" s="4" t="b">
        <f t="shared" si="31"/>
        <v>0</v>
      </c>
      <c r="Q98" s="4" t="b">
        <f t="shared" si="31"/>
        <v>0</v>
      </c>
      <c r="R98" s="4" t="b">
        <f t="shared" si="31"/>
        <v>0</v>
      </c>
      <c r="S98" s="4" t="b">
        <f t="shared" si="31"/>
        <v>0</v>
      </c>
      <c r="T98" s="4" t="b">
        <f t="shared" si="31"/>
        <v>0</v>
      </c>
      <c r="U98" s="4" t="b">
        <f t="shared" si="31"/>
        <v>0</v>
      </c>
      <c r="V98" s="4" t="b">
        <f t="shared" si="31"/>
        <v>0</v>
      </c>
      <c r="W98" s="4" t="b">
        <f t="shared" si="31"/>
        <v>0</v>
      </c>
      <c r="X98" s="4" t="b">
        <f t="shared" si="31"/>
        <v>0</v>
      </c>
      <c r="Y98" s="4" t="b">
        <f t="shared" si="31"/>
        <v>1</v>
      </c>
      <c r="Z98" s="4" t="b">
        <f t="shared" si="31"/>
        <v>0</v>
      </c>
    </row>
    <row r="99" spans="2:26" x14ac:dyDescent="0.2">
      <c r="E99" s="4" t="str">
        <f>E75</f>
        <v>Is company below average in complaints?</v>
      </c>
      <c r="G99" s="4" t="str">
        <f>G75</f>
        <v>TRUE/FALSE</v>
      </c>
      <c r="J99" s="4" t="b">
        <f t="shared" ref="J99:Z99" si="32">J75</f>
        <v>0</v>
      </c>
      <c r="K99" s="4" t="b">
        <f t="shared" si="32"/>
        <v>1</v>
      </c>
      <c r="L99" s="4" t="b">
        <f t="shared" si="32"/>
        <v>1</v>
      </c>
      <c r="M99" s="4" t="b">
        <f t="shared" si="32"/>
        <v>0</v>
      </c>
      <c r="N99" s="4" t="b">
        <f t="shared" si="32"/>
        <v>1</v>
      </c>
      <c r="O99" s="4" t="b">
        <f t="shared" si="32"/>
        <v>1</v>
      </c>
      <c r="P99" s="4" t="b">
        <f t="shared" si="32"/>
        <v>1</v>
      </c>
      <c r="Q99" s="4" t="b">
        <f t="shared" si="32"/>
        <v>1</v>
      </c>
      <c r="R99" s="4" t="b">
        <f t="shared" si="32"/>
        <v>1</v>
      </c>
      <c r="S99" s="4" t="b">
        <f t="shared" si="32"/>
        <v>1</v>
      </c>
      <c r="T99" s="4" t="b">
        <f t="shared" si="32"/>
        <v>0</v>
      </c>
      <c r="U99" s="4" t="b">
        <f t="shared" si="32"/>
        <v>0</v>
      </c>
      <c r="V99" s="4" t="b">
        <f t="shared" si="32"/>
        <v>0</v>
      </c>
      <c r="W99" s="4" t="b">
        <f t="shared" si="32"/>
        <v>0</v>
      </c>
      <c r="X99" s="4" t="b">
        <f t="shared" si="32"/>
        <v>0</v>
      </c>
      <c r="Y99" s="4" t="b">
        <f t="shared" si="32"/>
        <v>1</v>
      </c>
      <c r="Z99" s="4" t="b">
        <f t="shared" si="32"/>
        <v>0</v>
      </c>
    </row>
    <row r="100" spans="2:26" x14ac:dyDescent="0.2">
      <c r="E100" s="4" t="str">
        <f>E95</f>
        <v>C-MeX score higher than threshold?</v>
      </c>
      <c r="G100" s="4" t="str">
        <f t="shared" ref="G100:Z100" si="33">G95</f>
        <v>TRUE/FALSE</v>
      </c>
      <c r="J100" s="4" t="b">
        <f>J95</f>
        <v>0</v>
      </c>
      <c r="K100" s="4" t="b">
        <f t="shared" si="33"/>
        <v>0</v>
      </c>
      <c r="L100" s="4" t="b">
        <f t="shared" si="33"/>
        <v>0</v>
      </c>
      <c r="M100" s="4" t="b">
        <f t="shared" si="33"/>
        <v>0</v>
      </c>
      <c r="N100" s="4" t="b">
        <f t="shared" si="33"/>
        <v>0</v>
      </c>
      <c r="O100" s="4" t="b">
        <f t="shared" si="33"/>
        <v>0</v>
      </c>
      <c r="P100" s="4" t="b">
        <f t="shared" si="33"/>
        <v>0</v>
      </c>
      <c r="Q100" s="4" t="b">
        <f t="shared" si="33"/>
        <v>0</v>
      </c>
      <c r="R100" s="4" t="b">
        <f t="shared" si="33"/>
        <v>0</v>
      </c>
      <c r="S100" s="4" t="b">
        <f t="shared" si="33"/>
        <v>0</v>
      </c>
      <c r="T100" s="4" t="b">
        <f t="shared" si="33"/>
        <v>0</v>
      </c>
      <c r="U100" s="4" t="b">
        <f t="shared" si="33"/>
        <v>0</v>
      </c>
      <c r="V100" s="4" t="b">
        <f t="shared" si="33"/>
        <v>0</v>
      </c>
      <c r="W100" s="4" t="b">
        <f t="shared" si="33"/>
        <v>0</v>
      </c>
      <c r="X100" s="4" t="b">
        <f t="shared" si="33"/>
        <v>0</v>
      </c>
      <c r="Y100" s="4" t="b">
        <f t="shared" si="33"/>
        <v>0</v>
      </c>
      <c r="Z100" s="4" t="b">
        <f t="shared" si="33"/>
        <v>0</v>
      </c>
    </row>
    <row r="101" spans="2:26" x14ac:dyDescent="0.2">
      <c r="E101" s="4" t="s">
        <v>278</v>
      </c>
      <c r="G101" s="4" t="s">
        <v>268</v>
      </c>
      <c r="J101" s="4" t="b">
        <f>AND(J98:J100)</f>
        <v>0</v>
      </c>
      <c r="K101" s="4" t="b">
        <f>AND(K98:K100)</f>
        <v>0</v>
      </c>
      <c r="L101" s="4" t="b">
        <f t="shared" ref="L101:Y101" si="34">AND(L98:L100)</f>
        <v>0</v>
      </c>
      <c r="M101" s="4" t="b">
        <f t="shared" si="34"/>
        <v>0</v>
      </c>
      <c r="N101" s="4" t="b">
        <f t="shared" si="34"/>
        <v>0</v>
      </c>
      <c r="O101" s="4" t="b">
        <f t="shared" si="34"/>
        <v>0</v>
      </c>
      <c r="P101" s="4" t="b">
        <f t="shared" si="34"/>
        <v>0</v>
      </c>
      <c r="Q101" s="4" t="b">
        <f t="shared" si="34"/>
        <v>0</v>
      </c>
      <c r="R101" s="4" t="b">
        <f t="shared" si="34"/>
        <v>0</v>
      </c>
      <c r="S101" s="4" t="b">
        <f t="shared" si="34"/>
        <v>0</v>
      </c>
      <c r="T101" s="4" t="b">
        <f t="shared" si="34"/>
        <v>0</v>
      </c>
      <c r="U101" s="4" t="b">
        <f t="shared" si="34"/>
        <v>0</v>
      </c>
      <c r="V101" s="4" t="b">
        <f>AND(V98:V100)</f>
        <v>0</v>
      </c>
      <c r="W101" s="4" t="b">
        <f t="shared" si="34"/>
        <v>0</v>
      </c>
      <c r="X101" s="4" t="b">
        <f t="shared" si="34"/>
        <v>0</v>
      </c>
      <c r="Y101" s="4" t="b">
        <f t="shared" si="34"/>
        <v>0</v>
      </c>
      <c r="Z101" s="4" t="b">
        <f>AND(Z98:Z100)</f>
        <v>0</v>
      </c>
    </row>
    <row r="103" spans="2:26" x14ac:dyDescent="0.2">
      <c r="B103" s="8" t="s">
        <v>279</v>
      </c>
    </row>
    <row r="105" spans="2:26" x14ac:dyDescent="0.2">
      <c r="E105" s="4" t="str">
        <f>E101</f>
        <v>Does company meet all higher payment gates?</v>
      </c>
      <c r="G105" s="4" t="str">
        <f t="shared" ref="G105:Z105" si="35">G101</f>
        <v>TRUE/FALSE</v>
      </c>
      <c r="J105" s="4" t="b">
        <f>J101</f>
        <v>0</v>
      </c>
      <c r="K105" s="4" t="b">
        <f t="shared" si="35"/>
        <v>0</v>
      </c>
      <c r="L105" s="4" t="b">
        <f t="shared" si="35"/>
        <v>0</v>
      </c>
      <c r="M105" s="4" t="b">
        <f t="shared" si="35"/>
        <v>0</v>
      </c>
      <c r="N105" s="4" t="b">
        <f t="shared" si="35"/>
        <v>0</v>
      </c>
      <c r="O105" s="4" t="b">
        <f t="shared" si="35"/>
        <v>0</v>
      </c>
      <c r="P105" s="4" t="b">
        <f t="shared" si="35"/>
        <v>0</v>
      </c>
      <c r="Q105" s="4" t="b">
        <f t="shared" si="35"/>
        <v>0</v>
      </c>
      <c r="R105" s="4" t="b">
        <f t="shared" si="35"/>
        <v>0</v>
      </c>
      <c r="S105" s="4" t="b">
        <f t="shared" si="35"/>
        <v>0</v>
      </c>
      <c r="T105" s="4" t="b">
        <f t="shared" si="35"/>
        <v>0</v>
      </c>
      <c r="U105" s="4" t="b">
        <f t="shared" si="35"/>
        <v>0</v>
      </c>
      <c r="V105" s="4" t="b">
        <f t="shared" si="35"/>
        <v>0</v>
      </c>
      <c r="W105" s="4" t="b">
        <f t="shared" si="35"/>
        <v>0</v>
      </c>
      <c r="X105" s="4" t="b">
        <f t="shared" si="35"/>
        <v>0</v>
      </c>
      <c r="Y105" s="4" t="b">
        <f t="shared" si="35"/>
        <v>0</v>
      </c>
      <c r="Z105" s="4" t="b">
        <f t="shared" si="35"/>
        <v>0</v>
      </c>
    </row>
    <row r="106" spans="2:26" x14ac:dyDescent="0.2">
      <c r="E106" s="4" t="s">
        <v>280</v>
      </c>
      <c r="F106" s="4">
        <f>COUNTIF(J105:Z105,TRUE)</f>
        <v>0</v>
      </c>
    </row>
    <row r="108" spans="2:26" s="13" customFormat="1" x14ac:dyDescent="0.2">
      <c r="E108" s="13" t="str">
        <f>E6</f>
        <v>C-MeX score</v>
      </c>
      <c r="G108" s="13" t="str">
        <f>G6</f>
        <v>Number</v>
      </c>
      <c r="J108" s="14">
        <f t="shared" ref="J108:Z108" si="36">J6</f>
        <v>70.099999999999994</v>
      </c>
      <c r="K108" s="14">
        <f t="shared" si="36"/>
        <v>77.38</v>
      </c>
      <c r="L108" s="14">
        <f t="shared" si="36"/>
        <v>77.760000000000005</v>
      </c>
      <c r="M108" s="14">
        <f t="shared" si="36"/>
        <v>79.56</v>
      </c>
      <c r="N108" s="14">
        <f t="shared" si="36"/>
        <v>77.61</v>
      </c>
      <c r="O108" s="14">
        <f t="shared" si="36"/>
        <v>80.36</v>
      </c>
      <c r="P108" s="14">
        <f t="shared" si="36"/>
        <v>77.78</v>
      </c>
      <c r="Q108" s="14">
        <f t="shared" si="36"/>
        <v>69.72</v>
      </c>
      <c r="R108" s="14">
        <f t="shared" si="36"/>
        <v>74.42</v>
      </c>
      <c r="S108" s="14">
        <f t="shared" si="36"/>
        <v>71.819999999999993</v>
      </c>
      <c r="T108" s="14">
        <f t="shared" si="36"/>
        <v>74.739999999999995</v>
      </c>
      <c r="U108" s="14">
        <f t="shared" si="36"/>
        <v>69.48</v>
      </c>
      <c r="V108" s="14">
        <f t="shared" si="36"/>
        <v>65.13</v>
      </c>
      <c r="W108" s="14">
        <f t="shared" si="36"/>
        <v>61.44</v>
      </c>
      <c r="X108" s="14">
        <f t="shared" si="36"/>
        <v>76.36</v>
      </c>
      <c r="Y108" s="14">
        <f t="shared" si="36"/>
        <v>79.709999999999994</v>
      </c>
      <c r="Z108" s="14">
        <f t="shared" si="36"/>
        <v>74.48</v>
      </c>
    </row>
    <row r="109" spans="2:26" s="13" customFormat="1" x14ac:dyDescent="0.2">
      <c r="E109" s="13" t="str">
        <f>E101</f>
        <v>Does company meet all higher payment gates?</v>
      </c>
      <c r="G109" s="13" t="str">
        <f t="shared" ref="G109:Z109" si="37">G101</f>
        <v>TRUE/FALSE</v>
      </c>
      <c r="J109" s="13" t="b">
        <f t="shared" si="37"/>
        <v>0</v>
      </c>
      <c r="K109" s="13" t="b">
        <f t="shared" si="37"/>
        <v>0</v>
      </c>
      <c r="L109" s="13" t="b">
        <f t="shared" si="37"/>
        <v>0</v>
      </c>
      <c r="M109" s="13" t="b">
        <f t="shared" si="37"/>
        <v>0</v>
      </c>
      <c r="N109" s="13" t="b">
        <f t="shared" si="37"/>
        <v>0</v>
      </c>
      <c r="O109" s="13" t="b">
        <f t="shared" si="37"/>
        <v>0</v>
      </c>
      <c r="P109" s="13" t="b">
        <f t="shared" si="37"/>
        <v>0</v>
      </c>
      <c r="Q109" s="13" t="b">
        <f t="shared" si="37"/>
        <v>0</v>
      </c>
      <c r="R109" s="13" t="b">
        <f t="shared" si="37"/>
        <v>0</v>
      </c>
      <c r="S109" s="13" t="b">
        <f t="shared" si="37"/>
        <v>0</v>
      </c>
      <c r="T109" s="13" t="b">
        <f t="shared" si="37"/>
        <v>0</v>
      </c>
      <c r="U109" s="13" t="b">
        <f t="shared" si="37"/>
        <v>0</v>
      </c>
      <c r="V109" s="13" t="b">
        <f t="shared" si="37"/>
        <v>0</v>
      </c>
      <c r="W109" s="13" t="b">
        <f t="shared" si="37"/>
        <v>0</v>
      </c>
      <c r="X109" s="13" t="b">
        <f t="shared" si="37"/>
        <v>0</v>
      </c>
      <c r="Y109" s="13" t="b">
        <f t="shared" si="37"/>
        <v>0</v>
      </c>
      <c r="Z109" s="13" t="b">
        <f t="shared" si="37"/>
        <v>0</v>
      </c>
    </row>
    <row r="110" spans="2:26" x14ac:dyDescent="0.2">
      <c r="E110" s="4" t="s">
        <v>281</v>
      </c>
      <c r="G110" s="4" t="s">
        <v>178</v>
      </c>
      <c r="J110" s="12" t="b">
        <f>IF(J109,J108)</f>
        <v>0</v>
      </c>
      <c r="K110" s="12" t="b">
        <f t="shared" ref="K110:Z110" si="38">IF(K109,K108)</f>
        <v>0</v>
      </c>
      <c r="L110" s="12" t="b">
        <f t="shared" si="38"/>
        <v>0</v>
      </c>
      <c r="M110" s="12" t="b">
        <f t="shared" si="38"/>
        <v>0</v>
      </c>
      <c r="N110" s="12" t="b">
        <f t="shared" si="38"/>
        <v>0</v>
      </c>
      <c r="O110" s="12" t="b">
        <f t="shared" si="38"/>
        <v>0</v>
      </c>
      <c r="P110" s="12" t="b">
        <f t="shared" si="38"/>
        <v>0</v>
      </c>
      <c r="Q110" s="12" t="b">
        <f t="shared" si="38"/>
        <v>0</v>
      </c>
      <c r="R110" s="12" t="b">
        <f t="shared" si="38"/>
        <v>0</v>
      </c>
      <c r="S110" s="12" t="b">
        <f t="shared" si="38"/>
        <v>0</v>
      </c>
      <c r="T110" s="12" t="b">
        <f t="shared" si="38"/>
        <v>0</v>
      </c>
      <c r="U110" s="12" t="b">
        <f t="shared" si="38"/>
        <v>0</v>
      </c>
      <c r="V110" s="12" t="b">
        <f t="shared" si="38"/>
        <v>0</v>
      </c>
      <c r="W110" s="12" t="b">
        <f t="shared" si="38"/>
        <v>0</v>
      </c>
      <c r="X110" s="12" t="b">
        <f t="shared" si="38"/>
        <v>0</v>
      </c>
      <c r="Y110" s="12" t="b">
        <f t="shared" si="38"/>
        <v>0</v>
      </c>
      <c r="Z110" s="12" t="b">
        <f t="shared" si="38"/>
        <v>0</v>
      </c>
    </row>
    <row r="111" spans="2:26" x14ac:dyDescent="0.2">
      <c r="E111" s="4" t="s">
        <v>282</v>
      </c>
      <c r="G111" s="4" t="s">
        <v>178</v>
      </c>
      <c r="J111" s="4" t="str">
        <f>_xlfn.IFNA(_xlfn.RANK.EQ(J110,$J110:$Z110),"")</f>
        <v/>
      </c>
      <c r="K111" s="4" t="str">
        <f t="shared" ref="K111:Z111" si="39">_xlfn.IFNA(_xlfn.RANK.EQ(K110,$J110:$Z110),"")</f>
        <v/>
      </c>
      <c r="L111" s="4" t="str">
        <f t="shared" si="39"/>
        <v/>
      </c>
      <c r="M111" s="4" t="str">
        <f t="shared" si="39"/>
        <v/>
      </c>
      <c r="N111" s="4" t="str">
        <f t="shared" si="39"/>
        <v/>
      </c>
      <c r="O111" s="4" t="str">
        <f t="shared" si="39"/>
        <v/>
      </c>
      <c r="P111" s="4" t="str">
        <f t="shared" si="39"/>
        <v/>
      </c>
      <c r="Q111" s="4" t="str">
        <f t="shared" si="39"/>
        <v/>
      </c>
      <c r="R111" s="4" t="str">
        <f t="shared" si="39"/>
        <v/>
      </c>
      <c r="S111" s="4" t="str">
        <f t="shared" si="39"/>
        <v/>
      </c>
      <c r="T111" s="4" t="str">
        <f t="shared" si="39"/>
        <v/>
      </c>
      <c r="U111" s="4" t="str">
        <f t="shared" si="39"/>
        <v/>
      </c>
      <c r="V111" s="4" t="str">
        <f t="shared" si="39"/>
        <v/>
      </c>
      <c r="W111" s="4" t="str">
        <f t="shared" si="39"/>
        <v/>
      </c>
      <c r="X111" s="4" t="str">
        <f t="shared" si="39"/>
        <v/>
      </c>
      <c r="Y111" s="4" t="str">
        <f t="shared" si="39"/>
        <v/>
      </c>
      <c r="Z111" s="4" t="str">
        <f t="shared" si="39"/>
        <v/>
      </c>
    </row>
    <row r="112" spans="2:26" s="13" customFormat="1" x14ac:dyDescent="0.2">
      <c r="F112" s="16"/>
    </row>
    <row r="113" spans="1:26" s="13" customFormat="1" x14ac:dyDescent="0.2">
      <c r="E113" s="13" t="s">
        <v>283</v>
      </c>
      <c r="F113" s="16"/>
      <c r="G113" s="13" t="s">
        <v>268</v>
      </c>
      <c r="J113" s="13" t="b">
        <f>IF(J$111=1,TRUE,FALSE)</f>
        <v>0</v>
      </c>
      <c r="K113" s="13" t="b">
        <f t="shared" ref="K113:Z113" si="40">IF(K$111=1,TRUE,FALSE)</f>
        <v>0</v>
      </c>
      <c r="L113" s="13" t="b">
        <f t="shared" si="40"/>
        <v>0</v>
      </c>
      <c r="M113" s="13" t="b">
        <f t="shared" si="40"/>
        <v>0</v>
      </c>
      <c r="N113" s="13" t="b">
        <f t="shared" si="40"/>
        <v>0</v>
      </c>
      <c r="O113" s="13" t="b">
        <f t="shared" si="40"/>
        <v>0</v>
      </c>
      <c r="P113" s="13" t="b">
        <f t="shared" si="40"/>
        <v>0</v>
      </c>
      <c r="Q113" s="13" t="b">
        <f t="shared" si="40"/>
        <v>0</v>
      </c>
      <c r="R113" s="13" t="b">
        <f t="shared" si="40"/>
        <v>0</v>
      </c>
      <c r="S113" s="13" t="b">
        <f t="shared" si="40"/>
        <v>0</v>
      </c>
      <c r="T113" s="13" t="b">
        <f t="shared" si="40"/>
        <v>0</v>
      </c>
      <c r="U113" s="13" t="b">
        <f t="shared" si="40"/>
        <v>0</v>
      </c>
      <c r="V113" s="13" t="b">
        <f t="shared" si="40"/>
        <v>0</v>
      </c>
      <c r="W113" s="13" t="b">
        <f t="shared" si="40"/>
        <v>0</v>
      </c>
      <c r="X113" s="13" t="b">
        <f t="shared" si="40"/>
        <v>0</v>
      </c>
      <c r="Y113" s="13" t="b">
        <f t="shared" si="40"/>
        <v>0</v>
      </c>
      <c r="Z113" s="13" t="b">
        <f t="shared" si="40"/>
        <v>0</v>
      </c>
    </row>
    <row r="114" spans="1:26" s="13" customFormat="1" x14ac:dyDescent="0.2">
      <c r="E114" s="13" t="s">
        <v>284</v>
      </c>
      <c r="F114" s="16"/>
      <c r="G114" s="13" t="s">
        <v>268</v>
      </c>
      <c r="J114" s="13" t="b">
        <f>IF(J$111=2,TRUE,FALSE)</f>
        <v>0</v>
      </c>
      <c r="K114" s="13" t="b">
        <f t="shared" ref="K114:Z114" si="41">IF(K$111=2,TRUE,FALSE)</f>
        <v>0</v>
      </c>
      <c r="L114" s="13" t="b">
        <f t="shared" si="41"/>
        <v>0</v>
      </c>
      <c r="M114" s="13" t="b">
        <f t="shared" si="41"/>
        <v>0</v>
      </c>
      <c r="N114" s="13" t="b">
        <f t="shared" si="41"/>
        <v>0</v>
      </c>
      <c r="O114" s="13" t="b">
        <f t="shared" si="41"/>
        <v>0</v>
      </c>
      <c r="P114" s="13" t="b">
        <f t="shared" si="41"/>
        <v>0</v>
      </c>
      <c r="Q114" s="13" t="b">
        <f t="shared" si="41"/>
        <v>0</v>
      </c>
      <c r="R114" s="13" t="b">
        <f t="shared" si="41"/>
        <v>0</v>
      </c>
      <c r="S114" s="13" t="b">
        <f t="shared" si="41"/>
        <v>0</v>
      </c>
      <c r="T114" s="13" t="b">
        <f t="shared" si="41"/>
        <v>0</v>
      </c>
      <c r="U114" s="13" t="b">
        <f t="shared" si="41"/>
        <v>0</v>
      </c>
      <c r="V114" s="13" t="b">
        <f t="shared" si="41"/>
        <v>0</v>
      </c>
      <c r="W114" s="13" t="b">
        <f t="shared" si="41"/>
        <v>0</v>
      </c>
      <c r="X114" s="13" t="b">
        <f t="shared" si="41"/>
        <v>0</v>
      </c>
      <c r="Y114" s="13" t="b">
        <f t="shared" si="41"/>
        <v>0</v>
      </c>
      <c r="Z114" s="13" t="b">
        <f t="shared" si="41"/>
        <v>0</v>
      </c>
    </row>
    <row r="115" spans="1:26" s="13" customFormat="1" x14ac:dyDescent="0.2">
      <c r="E115" s="13" t="s">
        <v>285</v>
      </c>
      <c r="G115" s="13" t="s">
        <v>268</v>
      </c>
      <c r="J115" s="13" t="b">
        <f>IF(J$111=3,TRUE,FALSE)</f>
        <v>0</v>
      </c>
      <c r="K115" s="13" t="b">
        <f t="shared" ref="K115:Z115" si="42">IF(K$111=3,TRUE,FALSE)</f>
        <v>0</v>
      </c>
      <c r="L115" s="13" t="b">
        <f t="shared" si="42"/>
        <v>0</v>
      </c>
      <c r="M115" s="13" t="b">
        <f t="shared" si="42"/>
        <v>0</v>
      </c>
      <c r="N115" s="13" t="b">
        <f t="shared" si="42"/>
        <v>0</v>
      </c>
      <c r="O115" s="13" t="b">
        <f t="shared" si="42"/>
        <v>0</v>
      </c>
      <c r="P115" s="13" t="b">
        <f t="shared" si="42"/>
        <v>0</v>
      </c>
      <c r="Q115" s="13" t="b">
        <f t="shared" si="42"/>
        <v>0</v>
      </c>
      <c r="R115" s="13" t="b">
        <f t="shared" si="42"/>
        <v>0</v>
      </c>
      <c r="S115" s="13" t="b">
        <f t="shared" si="42"/>
        <v>0</v>
      </c>
      <c r="T115" s="13" t="b">
        <f t="shared" si="42"/>
        <v>0</v>
      </c>
      <c r="U115" s="13" t="b">
        <f t="shared" si="42"/>
        <v>0</v>
      </c>
      <c r="V115" s="13" t="b">
        <f t="shared" si="42"/>
        <v>0</v>
      </c>
      <c r="W115" s="13" t="b">
        <f t="shared" si="42"/>
        <v>0</v>
      </c>
      <c r="X115" s="13" t="b">
        <f t="shared" si="42"/>
        <v>0</v>
      </c>
      <c r="Y115" s="13" t="b">
        <f t="shared" si="42"/>
        <v>0</v>
      </c>
      <c r="Z115" s="13" t="b">
        <f t="shared" si="42"/>
        <v>0</v>
      </c>
    </row>
    <row r="116" spans="1:26" s="13" customFormat="1" x14ac:dyDescent="0.2"/>
    <row r="117" spans="1:26" s="9" customFormat="1" x14ac:dyDescent="0.2">
      <c r="E117" s="9" t="str">
        <f>Inputs!E113</f>
        <v>Higher performance rate for top ranked company</v>
      </c>
      <c r="F117" s="15">
        <f>Inputs!F113</f>
        <v>0.06</v>
      </c>
      <c r="G117" s="9" t="str">
        <f>Inputs!G113</f>
        <v>Percentage</v>
      </c>
    </row>
    <row r="118" spans="1:26" s="9" customFormat="1" x14ac:dyDescent="0.2">
      <c r="E118" s="9" t="str">
        <f>Inputs!E114</f>
        <v>Higher performance rate for second ranked company</v>
      </c>
      <c r="F118" s="15">
        <f>Inputs!F114</f>
        <v>0.04</v>
      </c>
      <c r="G118" s="9" t="str">
        <f>Inputs!G114</f>
        <v>Percentage</v>
      </c>
    </row>
    <row r="119" spans="1:26" s="9" customFormat="1" x14ac:dyDescent="0.2">
      <c r="E119" s="9" t="str">
        <f>Inputs!E115</f>
        <v>Higher performance rate for third ranked company</v>
      </c>
      <c r="F119" s="15">
        <f>Inputs!F115</f>
        <v>0.02</v>
      </c>
      <c r="G119" s="9" t="str">
        <f>Inputs!G115</f>
        <v>Percentage</v>
      </c>
    </row>
    <row r="120" spans="1:26" s="13" customFormat="1" x14ac:dyDescent="0.2"/>
    <row r="121" spans="1:26" s="13" customFormat="1" x14ac:dyDescent="0.2">
      <c r="E121" s="13" t="s">
        <v>286</v>
      </c>
      <c r="G121" s="13" t="s">
        <v>215</v>
      </c>
      <c r="J121" s="16" t="str">
        <f>IF(J113,$F117,"")</f>
        <v/>
      </c>
      <c r="K121" s="16" t="str">
        <f t="shared" ref="K121:Z123" si="43">IF(K113,$F117,"")</f>
        <v/>
      </c>
      <c r="L121" s="16" t="str">
        <f t="shared" si="43"/>
        <v/>
      </c>
      <c r="M121" s="16" t="str">
        <f t="shared" si="43"/>
        <v/>
      </c>
      <c r="N121" s="16" t="str">
        <f t="shared" si="43"/>
        <v/>
      </c>
      <c r="O121" s="16" t="str">
        <f t="shared" si="43"/>
        <v/>
      </c>
      <c r="P121" s="16" t="str">
        <f t="shared" si="43"/>
        <v/>
      </c>
      <c r="Q121" s="16" t="str">
        <f t="shared" si="43"/>
        <v/>
      </c>
      <c r="R121" s="16" t="str">
        <f t="shared" si="43"/>
        <v/>
      </c>
      <c r="S121" s="16" t="str">
        <f t="shared" si="43"/>
        <v/>
      </c>
      <c r="T121" s="16" t="str">
        <f t="shared" si="43"/>
        <v/>
      </c>
      <c r="U121" s="16" t="str">
        <f t="shared" si="43"/>
        <v/>
      </c>
      <c r="V121" s="16" t="str">
        <f t="shared" si="43"/>
        <v/>
      </c>
      <c r="W121" s="16" t="str">
        <f t="shared" si="43"/>
        <v/>
      </c>
      <c r="X121" s="16" t="str">
        <f t="shared" si="43"/>
        <v/>
      </c>
      <c r="Y121" s="16" t="str">
        <f t="shared" si="43"/>
        <v/>
      </c>
      <c r="Z121" s="16" t="str">
        <f t="shared" si="43"/>
        <v/>
      </c>
    </row>
    <row r="122" spans="1:26" s="13" customFormat="1" x14ac:dyDescent="0.2">
      <c r="E122" s="13" t="s">
        <v>287</v>
      </c>
      <c r="G122" s="13" t="s">
        <v>215</v>
      </c>
      <c r="J122" s="16" t="str">
        <f>IF(J114,$F118,"")</f>
        <v/>
      </c>
      <c r="K122" s="16" t="str">
        <f t="shared" ref="K122:Y122" si="44">IF(K114,$F118,"")</f>
        <v/>
      </c>
      <c r="L122" s="16" t="str">
        <f t="shared" si="44"/>
        <v/>
      </c>
      <c r="M122" s="16" t="str">
        <f>IF(M114,$F118,"")</f>
        <v/>
      </c>
      <c r="N122" s="16" t="str">
        <f t="shared" si="44"/>
        <v/>
      </c>
      <c r="O122" s="16" t="str">
        <f t="shared" si="44"/>
        <v/>
      </c>
      <c r="P122" s="16" t="str">
        <f t="shared" si="44"/>
        <v/>
      </c>
      <c r="Q122" s="16" t="str">
        <f t="shared" si="44"/>
        <v/>
      </c>
      <c r="R122" s="16" t="str">
        <f t="shared" si="44"/>
        <v/>
      </c>
      <c r="S122" s="16" t="str">
        <f t="shared" si="44"/>
        <v/>
      </c>
      <c r="T122" s="16" t="str">
        <f t="shared" si="44"/>
        <v/>
      </c>
      <c r="U122" s="16" t="str">
        <f t="shared" si="44"/>
        <v/>
      </c>
      <c r="V122" s="16" t="str">
        <f t="shared" si="44"/>
        <v/>
      </c>
      <c r="W122" s="16" t="str">
        <f t="shared" si="44"/>
        <v/>
      </c>
      <c r="X122" s="16" t="str">
        <f t="shared" si="44"/>
        <v/>
      </c>
      <c r="Y122" s="16" t="str">
        <f t="shared" si="44"/>
        <v/>
      </c>
      <c r="Z122" s="16" t="str">
        <f t="shared" si="43"/>
        <v/>
      </c>
    </row>
    <row r="123" spans="1:26" s="13" customFormat="1" x14ac:dyDescent="0.2">
      <c r="E123" s="13" t="s">
        <v>288</v>
      </c>
      <c r="G123" s="13" t="s">
        <v>215</v>
      </c>
      <c r="J123" s="16" t="str">
        <f>IF(J115,$F119,"")</f>
        <v/>
      </c>
      <c r="K123" s="16" t="str">
        <f t="shared" si="43"/>
        <v/>
      </c>
      <c r="L123" s="16" t="str">
        <f t="shared" si="43"/>
        <v/>
      </c>
      <c r="M123" s="16" t="str">
        <f t="shared" si="43"/>
        <v/>
      </c>
      <c r="N123" s="16" t="str">
        <f t="shared" si="43"/>
        <v/>
      </c>
      <c r="O123" s="16" t="str">
        <f t="shared" si="43"/>
        <v/>
      </c>
      <c r="P123" s="16" t="str">
        <f t="shared" si="43"/>
        <v/>
      </c>
      <c r="Q123" s="16" t="str">
        <f t="shared" si="43"/>
        <v/>
      </c>
      <c r="R123" s="16" t="str">
        <f t="shared" si="43"/>
        <v/>
      </c>
      <c r="S123" s="16" t="str">
        <f t="shared" si="43"/>
        <v/>
      </c>
      <c r="T123" s="16" t="str">
        <f t="shared" si="43"/>
        <v/>
      </c>
      <c r="U123" s="16" t="str">
        <f t="shared" si="43"/>
        <v/>
      </c>
      <c r="V123" s="16" t="str">
        <f t="shared" si="43"/>
        <v/>
      </c>
      <c r="W123" s="16" t="str">
        <f t="shared" si="43"/>
        <v/>
      </c>
      <c r="X123" s="16" t="str">
        <f t="shared" si="43"/>
        <v/>
      </c>
      <c r="Y123" s="16" t="str">
        <f t="shared" si="43"/>
        <v/>
      </c>
      <c r="Z123" s="16" t="str">
        <f t="shared" si="43"/>
        <v/>
      </c>
    </row>
    <row r="124" spans="1:26" s="19" customFormat="1" x14ac:dyDescent="0.2">
      <c r="E124" s="19" t="s">
        <v>289</v>
      </c>
      <c r="G124" s="19" t="s">
        <v>215</v>
      </c>
      <c r="J124" s="20">
        <f>SUM(J121:J123)</f>
        <v>0</v>
      </c>
      <c r="K124" s="20">
        <f t="shared" ref="K124:Z124" si="45">SUM(K121:K123)</f>
        <v>0</v>
      </c>
      <c r="L124" s="20">
        <f t="shared" si="45"/>
        <v>0</v>
      </c>
      <c r="M124" s="20">
        <f t="shared" si="45"/>
        <v>0</v>
      </c>
      <c r="N124" s="20">
        <f t="shared" si="45"/>
        <v>0</v>
      </c>
      <c r="O124" s="20">
        <f t="shared" si="45"/>
        <v>0</v>
      </c>
      <c r="P124" s="20">
        <f t="shared" si="45"/>
        <v>0</v>
      </c>
      <c r="Q124" s="20">
        <f t="shared" si="45"/>
        <v>0</v>
      </c>
      <c r="R124" s="20">
        <f t="shared" si="45"/>
        <v>0</v>
      </c>
      <c r="S124" s="20">
        <f t="shared" si="45"/>
        <v>0</v>
      </c>
      <c r="T124" s="20">
        <f t="shared" si="45"/>
        <v>0</v>
      </c>
      <c r="U124" s="20">
        <f t="shared" si="45"/>
        <v>0</v>
      </c>
      <c r="V124" s="20">
        <f t="shared" si="45"/>
        <v>0</v>
      </c>
      <c r="W124" s="20">
        <f t="shared" si="45"/>
        <v>0</v>
      </c>
      <c r="X124" s="20">
        <f t="shared" si="45"/>
        <v>0</v>
      </c>
      <c r="Y124" s="20">
        <f t="shared" si="45"/>
        <v>0</v>
      </c>
      <c r="Z124" s="20">
        <f t="shared" si="45"/>
        <v>0</v>
      </c>
    </row>
    <row r="125" spans="1:26" x14ac:dyDescent="0.2">
      <c r="C125" s="6"/>
    </row>
    <row r="126" spans="1:26" s="3" customFormat="1" ht="13.5" x14ac:dyDescent="0.25">
      <c r="A126" s="3" t="s">
        <v>43</v>
      </c>
    </row>
  </sheetData>
  <pageMargins left="0.70866141732283472" right="0.70866141732283472" top="0.74803149606299213" bottom="0.74803149606299213" header="0.31496062992125984" footer="0.31496062992125984"/>
  <pageSetup paperSize="8" scale="64" fitToHeight="0" orientation="landscape" r:id="rId1"/>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AB4E-4253-41F2-95E3-672E4CEC3344}">
  <sheetPr>
    <tabColor theme="5" tint="0.79998168889431442"/>
    <pageSetUpPr fitToPage="1"/>
  </sheetPr>
  <dimension ref="A1:Z84"/>
  <sheetViews>
    <sheetView zoomScale="80" zoomScaleNormal="80" zoomScaleSheetLayoutView="100" workbookViewId="0">
      <selection activeCell="F28" sqref="F28"/>
    </sheetView>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6" width="9.140625" style="4" customWidth="1"/>
    <col min="27" max="27" width="2.7109375" style="4" customWidth="1"/>
    <col min="28" max="16384" width="9.140625" style="4"/>
  </cols>
  <sheetData>
    <row r="1" spans="1:26" s="1" customFormat="1" ht="30" x14ac:dyDescent="0.4">
      <c r="A1" s="1" t="str">
        <f ca="1" xml:space="preserve"> RIGHT(CELL("filename", $A$1), LEN(CELL("filename", $A$1)) - SEARCH("]", CELL("filename", $A$1)))</f>
        <v>Performance payments</v>
      </c>
      <c r="F1" s="1" t="str">
        <f xml:space="preserve"> Inputs!$F$1</f>
        <v>2023-24</v>
      </c>
    </row>
    <row r="2" spans="1:26" x14ac:dyDescent="0.2">
      <c r="F2" s="30" t="s">
        <v>189</v>
      </c>
      <c r="G2" s="30" t="s">
        <v>151</v>
      </c>
      <c r="H2" s="30" t="s">
        <v>190</v>
      </c>
      <c r="I2" s="8"/>
    </row>
    <row r="3" spans="1:26" s="2" customFormat="1" ht="13.5" x14ac:dyDescent="0.25">
      <c r="A3" s="2" t="s">
        <v>290</v>
      </c>
    </row>
    <row r="4" spans="1:26" s="13" customFormat="1" x14ac:dyDescent="0.2"/>
    <row r="5" spans="1:26" s="9" customFormat="1" x14ac:dyDescent="0.2">
      <c r="E5" s="9" t="str">
        <f>Inputs!E97</f>
        <v>Company names</v>
      </c>
      <c r="G5" s="9" t="str">
        <f>Inputs!G97</f>
        <v>Text</v>
      </c>
      <c r="J5" s="9" t="str">
        <f>Inputs!J97</f>
        <v>Affinity Water</v>
      </c>
      <c r="K5" s="9" t="str">
        <f>Inputs!K97</f>
        <v>Anglian Water</v>
      </c>
      <c r="L5" s="9" t="str">
        <f>Inputs!L97</f>
        <v>Bristol Water</v>
      </c>
      <c r="M5" s="9" t="str">
        <f>Inputs!M97</f>
        <v>Dŵr Cymru</v>
      </c>
      <c r="N5" s="9" t="str">
        <f>Inputs!N97</f>
        <v>Hafren Dyfrdwy</v>
      </c>
      <c r="O5" s="9" t="str">
        <f>Inputs!O97</f>
        <v>Northumbrian Water</v>
      </c>
      <c r="P5" s="9" t="str">
        <f>Inputs!P97</f>
        <v>Portsmouth Water</v>
      </c>
      <c r="Q5" s="9" t="str">
        <f>Inputs!Q97</f>
        <v>SES Water</v>
      </c>
      <c r="R5" s="9" t="str">
        <f>Inputs!R97</f>
        <v>Severn Trent Water</v>
      </c>
      <c r="S5" s="9" t="str">
        <f>Inputs!S97</f>
        <v>South East Water</v>
      </c>
      <c r="T5" s="9" t="str">
        <f>Inputs!T97</f>
        <v>South Staffs Water</v>
      </c>
      <c r="U5" s="9" t="str">
        <f>Inputs!U97</f>
        <v>South West Water</v>
      </c>
      <c r="V5" s="9" t="str">
        <f>Inputs!V97</f>
        <v>Southern Water</v>
      </c>
      <c r="W5" s="9" t="str">
        <f>Inputs!W97</f>
        <v>Thames Water</v>
      </c>
      <c r="X5" s="9" t="str">
        <f>Inputs!X97</f>
        <v>United Utilities</v>
      </c>
      <c r="Y5" s="9" t="str">
        <f>Inputs!Y97</f>
        <v>Wessex Water</v>
      </c>
      <c r="Z5" s="9" t="str">
        <f>Inputs!Z97</f>
        <v>Yorkshire Water</v>
      </c>
    </row>
    <row r="6" spans="1:26" s="9" customFormat="1" x14ac:dyDescent="0.2">
      <c r="E6" s="9" t="str">
        <f>Inputs!E98</f>
        <v>C-MeX score</v>
      </c>
      <c r="G6" s="9" t="str">
        <f>Inputs!G98</f>
        <v>Number</v>
      </c>
      <c r="J6" s="11">
        <f>Inputs!J98</f>
        <v>70.099999999999994</v>
      </c>
      <c r="K6" s="11">
        <f>Inputs!K98</f>
        <v>77.38</v>
      </c>
      <c r="L6" s="11">
        <f>Inputs!L98</f>
        <v>77.760000000000005</v>
      </c>
      <c r="M6" s="11">
        <f>Inputs!M98</f>
        <v>79.56</v>
      </c>
      <c r="N6" s="11">
        <f>Inputs!N98</f>
        <v>77.61</v>
      </c>
      <c r="O6" s="11">
        <f>Inputs!O98</f>
        <v>80.36</v>
      </c>
      <c r="P6" s="11">
        <f>Inputs!P98</f>
        <v>77.78</v>
      </c>
      <c r="Q6" s="11">
        <f>Inputs!Q98</f>
        <v>69.72</v>
      </c>
      <c r="R6" s="11">
        <f>Inputs!R98</f>
        <v>74.42</v>
      </c>
      <c r="S6" s="11">
        <f>Inputs!S98</f>
        <v>71.819999999999993</v>
      </c>
      <c r="T6" s="11">
        <f>Inputs!T98</f>
        <v>74.739999999999995</v>
      </c>
      <c r="U6" s="11">
        <f>Inputs!U98</f>
        <v>69.48</v>
      </c>
      <c r="V6" s="11">
        <f>Inputs!V98</f>
        <v>65.13</v>
      </c>
      <c r="W6" s="11">
        <f>Inputs!W98</f>
        <v>61.44</v>
      </c>
      <c r="X6" s="11">
        <f>Inputs!X98</f>
        <v>76.36</v>
      </c>
      <c r="Y6" s="11">
        <f>Inputs!Y98</f>
        <v>79.709999999999994</v>
      </c>
      <c r="Z6" s="11">
        <f>Inputs!Z98</f>
        <v>74.48</v>
      </c>
    </row>
    <row r="8" spans="1:26" s="9" customFormat="1" x14ac:dyDescent="0.2">
      <c r="E8" s="9" t="str">
        <f>Inputs!E101</f>
        <v>Allowed residential retail for year of performance</v>
      </c>
      <c r="G8" s="9" t="str">
        <f>Inputs!G101</f>
        <v>£m (nominal)</v>
      </c>
      <c r="J8" s="21">
        <f>Inputs!J101</f>
        <v>27.849449529215899</v>
      </c>
      <c r="K8" s="21">
        <f>Inputs!K101</f>
        <v>95.454594103550804</v>
      </c>
      <c r="L8" s="21">
        <f>Inputs!L101</f>
        <v>12.1660468531585</v>
      </c>
      <c r="M8" s="21">
        <f>Inputs!M101</f>
        <v>49.0706295680897</v>
      </c>
      <c r="N8" s="21">
        <f>Inputs!N101</f>
        <v>2.9098685944812801</v>
      </c>
      <c r="O8" s="21">
        <f>Inputs!O101</f>
        <v>65.236250473582899</v>
      </c>
      <c r="P8" s="21">
        <f>Inputs!P101</f>
        <v>5.17844985008285</v>
      </c>
      <c r="Q8" s="21">
        <f>Inputs!Q101</f>
        <v>5.1641442057692704</v>
      </c>
      <c r="R8" s="21">
        <f>Inputs!R101</f>
        <v>107.434052353943</v>
      </c>
      <c r="S8" s="21">
        <f>Inputs!S101</f>
        <v>18.8398367043748</v>
      </c>
      <c r="T8" s="21">
        <f>Inputs!T101</f>
        <v>15.1871574214207</v>
      </c>
      <c r="U8" s="21">
        <f>Inputs!U101</f>
        <v>29.633099317905401</v>
      </c>
      <c r="V8" s="21">
        <f>Inputs!V101</f>
        <v>48.454014498771798</v>
      </c>
      <c r="W8" s="21">
        <f>Inputs!W101</f>
        <v>124.749670660169</v>
      </c>
      <c r="X8" s="21">
        <f>Inputs!X101</f>
        <v>127.598345901198</v>
      </c>
      <c r="Y8" s="21">
        <f>Inputs!Y101</f>
        <v>33.088091625028397</v>
      </c>
      <c r="Z8" s="21">
        <f>Inputs!Z101</f>
        <v>75.403938109161203</v>
      </c>
    </row>
    <row r="9" spans="1:26" s="9" customFormat="1" x14ac:dyDescent="0.2">
      <c r="E9" s="9" t="str">
        <f>'Payment rates'!E63</f>
        <v>Company's standard performance payment rate</v>
      </c>
      <c r="G9" s="9" t="str">
        <f>'Payment rates'!G63</f>
        <v>Percentage</v>
      </c>
      <c r="J9" s="15">
        <f>'Payment rates'!J63</f>
        <v>-4.1864661654135354E-2</v>
      </c>
      <c r="K9" s="15">
        <f>'Payment rates'!K63</f>
        <v>2.8185053380782903E-2</v>
      </c>
      <c r="L9" s="15">
        <f>'Payment rates'!L63</f>
        <v>3.2241992882562361E-2</v>
      </c>
      <c r="M9" s="15">
        <f>'Payment rates'!M63</f>
        <v>5.1459074733096126E-2</v>
      </c>
      <c r="N9" s="15">
        <f>'Payment rates'!N63</f>
        <v>3.0640569395017817E-2</v>
      </c>
      <c r="O9" s="15">
        <f>'Payment rates'!O63</f>
        <v>6.0000000000000005E-2</v>
      </c>
      <c r="P9" s="15">
        <f>'Payment rates'!P63</f>
        <v>3.2455516014234916E-2</v>
      </c>
      <c r="Q9" s="15">
        <f>'Payment rates'!Q63</f>
        <v>-4.5293233082706739E-2</v>
      </c>
      <c r="R9" s="15">
        <f>'Payment rates'!R63</f>
        <v>-2.8872180451127213E-3</v>
      </c>
      <c r="S9" s="15">
        <f>'Payment rates'!S63</f>
        <v>-2.6345864661654159E-2</v>
      </c>
      <c r="T9" s="15">
        <f>'Payment rates'!T63</f>
        <v>0</v>
      </c>
      <c r="U9" s="15">
        <f>'Payment rates'!U63</f>
        <v>-4.7458646616541283E-2</v>
      </c>
      <c r="V9" s="15">
        <f>'Payment rates'!V63</f>
        <v>-8.6706766917293246E-2</v>
      </c>
      <c r="W9" s="15">
        <f>'Payment rates'!W63</f>
        <v>-0.12000000000000001</v>
      </c>
      <c r="X9" s="15">
        <f>'Payment rates'!X63</f>
        <v>1.7295373665480462E-2</v>
      </c>
      <c r="Y9" s="15">
        <f>'Payment rates'!Y63</f>
        <v>5.3060498220640517E-2</v>
      </c>
      <c r="Z9" s="15">
        <f>'Payment rates'!Z63</f>
        <v>-2.3458646616540541E-3</v>
      </c>
    </row>
    <row r="10" spans="1:26" s="9" customFormat="1" x14ac:dyDescent="0.2">
      <c r="E10" s="9" t="str">
        <f>'Payment rates'!E124</f>
        <v>Company's higher performance rate</v>
      </c>
      <c r="G10" s="9" t="str">
        <f>'Payment rates'!G124</f>
        <v>Percentage</v>
      </c>
      <c r="J10" s="15">
        <f>'Payment rates'!J124</f>
        <v>0</v>
      </c>
      <c r="K10" s="15">
        <f>'Payment rates'!K124</f>
        <v>0</v>
      </c>
      <c r="L10" s="15">
        <f>'Payment rates'!L124</f>
        <v>0</v>
      </c>
      <c r="M10" s="15">
        <f>'Payment rates'!M124</f>
        <v>0</v>
      </c>
      <c r="N10" s="15">
        <f>'Payment rates'!N124</f>
        <v>0</v>
      </c>
      <c r="O10" s="15">
        <f>'Payment rates'!O124</f>
        <v>0</v>
      </c>
      <c r="P10" s="15">
        <f>'Payment rates'!P124</f>
        <v>0</v>
      </c>
      <c r="Q10" s="15">
        <f>'Payment rates'!Q124</f>
        <v>0</v>
      </c>
      <c r="R10" s="15">
        <f>'Payment rates'!R124</f>
        <v>0</v>
      </c>
      <c r="S10" s="15">
        <f>'Payment rates'!S124</f>
        <v>0</v>
      </c>
      <c r="T10" s="15">
        <f>'Payment rates'!T124</f>
        <v>0</v>
      </c>
      <c r="U10" s="15">
        <f>'Payment rates'!U124</f>
        <v>0</v>
      </c>
      <c r="V10" s="15">
        <f>'Payment rates'!V124</f>
        <v>0</v>
      </c>
      <c r="W10" s="15">
        <f>'Payment rates'!W124</f>
        <v>0</v>
      </c>
      <c r="X10" s="15">
        <f>'Payment rates'!X124</f>
        <v>0</v>
      </c>
      <c r="Y10" s="15">
        <f>'Payment rates'!Y124</f>
        <v>0</v>
      </c>
      <c r="Z10" s="15">
        <f>'Payment rates'!Z124</f>
        <v>0</v>
      </c>
    </row>
    <row r="11" spans="1:26" s="13" customFormat="1" x14ac:dyDescent="0.2">
      <c r="E11" s="13" t="s">
        <v>245</v>
      </c>
      <c r="G11" s="13" t="s">
        <v>206</v>
      </c>
      <c r="J11" s="17">
        <f>J$8*J9</f>
        <v>-1.1659077817945427</v>
      </c>
      <c r="K11" s="17">
        <f t="shared" ref="K11:Z11" si="0">K$8*K9</f>
        <v>2.6903928302495443</v>
      </c>
      <c r="L11" s="17">
        <f t="shared" si="0"/>
        <v>0.39225759604845656</v>
      </c>
      <c r="M11" s="17">
        <f t="shared" si="0"/>
        <v>2.5251291941444043</v>
      </c>
      <c r="N11" s="17">
        <f t="shared" si="0"/>
        <v>8.9160030599586618E-2</v>
      </c>
      <c r="O11" s="17">
        <f t="shared" si="0"/>
        <v>3.9141750284149741</v>
      </c>
      <c r="P11" s="17">
        <f t="shared" si="0"/>
        <v>0.16806926203827632</v>
      </c>
      <c r="Q11" s="17">
        <f t="shared" si="0"/>
        <v>-0.23390078718461704</v>
      </c>
      <c r="R11" s="17">
        <f t="shared" si="0"/>
        <v>-0.31018553461588905</v>
      </c>
      <c r="S11" s="17">
        <f t="shared" si="0"/>
        <v>-0.49635178806112301</v>
      </c>
      <c r="T11" s="17">
        <f t="shared" si="0"/>
        <v>0</v>
      </c>
      <c r="U11" s="17">
        <f t="shared" si="0"/>
        <v>-1.406346788681343</v>
      </c>
      <c r="V11" s="17">
        <f t="shared" si="0"/>
        <v>-4.2012909413521538</v>
      </c>
      <c r="W11" s="17">
        <f t="shared" si="0"/>
        <v>-14.969960479220282</v>
      </c>
      <c r="X11" s="17">
        <f t="shared" si="0"/>
        <v>2.2068610714584467</v>
      </c>
      <c r="Y11" s="17">
        <f t="shared" si="0"/>
        <v>1.7556706267942097</v>
      </c>
      <c r="Z11" s="17">
        <f t="shared" si="0"/>
        <v>-0.17688743375983068</v>
      </c>
    </row>
    <row r="12" spans="1:26" s="13" customFormat="1" x14ac:dyDescent="0.2">
      <c r="E12" s="13" t="s">
        <v>217</v>
      </c>
      <c r="G12" s="13" t="s">
        <v>206</v>
      </c>
      <c r="J12" s="17">
        <f>J$8*J10</f>
        <v>0</v>
      </c>
      <c r="K12" s="17">
        <f t="shared" ref="K12:Z12" si="1">K$8*K10</f>
        <v>0</v>
      </c>
      <c r="L12" s="17">
        <f t="shared" si="1"/>
        <v>0</v>
      </c>
      <c r="M12" s="17">
        <f t="shared" si="1"/>
        <v>0</v>
      </c>
      <c r="N12" s="17">
        <f t="shared" si="1"/>
        <v>0</v>
      </c>
      <c r="O12" s="17">
        <f t="shared" si="1"/>
        <v>0</v>
      </c>
      <c r="P12" s="17">
        <f t="shared" si="1"/>
        <v>0</v>
      </c>
      <c r="Q12" s="17">
        <f t="shared" si="1"/>
        <v>0</v>
      </c>
      <c r="R12" s="17">
        <f t="shared" si="1"/>
        <v>0</v>
      </c>
      <c r="S12" s="17">
        <f t="shared" si="1"/>
        <v>0</v>
      </c>
      <c r="T12" s="17">
        <f t="shared" si="1"/>
        <v>0</v>
      </c>
      <c r="U12" s="17">
        <f t="shared" si="1"/>
        <v>0</v>
      </c>
      <c r="V12" s="17">
        <f t="shared" si="1"/>
        <v>0</v>
      </c>
      <c r="W12" s="17">
        <f t="shared" si="1"/>
        <v>0</v>
      </c>
      <c r="X12" s="17">
        <f t="shared" si="1"/>
        <v>0</v>
      </c>
      <c r="Y12" s="17">
        <f t="shared" si="1"/>
        <v>0</v>
      </c>
      <c r="Z12" s="17">
        <f t="shared" si="1"/>
        <v>0</v>
      </c>
    </row>
    <row r="13" spans="1:26" s="13" customFormat="1" x14ac:dyDescent="0.2"/>
    <row r="14" spans="1:26" s="13" customFormat="1" x14ac:dyDescent="0.2">
      <c r="B14" s="26" t="s">
        <v>291</v>
      </c>
    </row>
    <row r="15" spans="1:26" s="13" customFormat="1" x14ac:dyDescent="0.2">
      <c r="E15" s="13" t="str">
        <f xml:space="preserve"> E$11</f>
        <v>Standard performance payments</v>
      </c>
      <c r="G15" s="13" t="str">
        <f t="shared" ref="G15:Z15" si="2" xml:space="preserve"> G$11</f>
        <v>£m (nominal)</v>
      </c>
      <c r="J15" s="17">
        <f t="shared" si="2"/>
        <v>-1.1659077817945427</v>
      </c>
      <c r="K15" s="17">
        <f t="shared" si="2"/>
        <v>2.6903928302495443</v>
      </c>
      <c r="L15" s="17">
        <f t="shared" si="2"/>
        <v>0.39225759604845656</v>
      </c>
      <c r="M15" s="17">
        <f t="shared" si="2"/>
        <v>2.5251291941444043</v>
      </c>
      <c r="N15" s="17">
        <f t="shared" si="2"/>
        <v>8.9160030599586618E-2</v>
      </c>
      <c r="O15" s="17">
        <f t="shared" si="2"/>
        <v>3.9141750284149741</v>
      </c>
      <c r="P15" s="17">
        <f t="shared" si="2"/>
        <v>0.16806926203827632</v>
      </c>
      <c r="Q15" s="17">
        <f t="shared" si="2"/>
        <v>-0.23390078718461704</v>
      </c>
      <c r="R15" s="17">
        <f t="shared" si="2"/>
        <v>-0.31018553461588905</v>
      </c>
      <c r="S15" s="17">
        <f t="shared" si="2"/>
        <v>-0.49635178806112301</v>
      </c>
      <c r="T15" s="17">
        <f t="shared" si="2"/>
        <v>0</v>
      </c>
      <c r="U15" s="17">
        <f t="shared" si="2"/>
        <v>-1.406346788681343</v>
      </c>
      <c r="V15" s="17">
        <f t="shared" si="2"/>
        <v>-4.2012909413521538</v>
      </c>
      <c r="W15" s="17">
        <f t="shared" si="2"/>
        <v>-14.969960479220282</v>
      </c>
      <c r="X15" s="17">
        <f t="shared" si="2"/>
        <v>2.2068610714584467</v>
      </c>
      <c r="Y15" s="17">
        <f t="shared" si="2"/>
        <v>1.7556706267942097</v>
      </c>
      <c r="Z15" s="17">
        <f t="shared" si="2"/>
        <v>-0.17688743375983068</v>
      </c>
    </row>
    <row r="16" spans="1:26" s="13" customFormat="1" x14ac:dyDescent="0.2">
      <c r="E16" s="13" t="str">
        <f xml:space="preserve"> E$12</f>
        <v>Higher performance payments</v>
      </c>
      <c r="G16" s="13" t="str">
        <f t="shared" ref="G16:Z16" si="3" xml:space="preserve"> G$12</f>
        <v>£m (nominal)</v>
      </c>
      <c r="J16" s="17">
        <f t="shared" si="3"/>
        <v>0</v>
      </c>
      <c r="K16" s="17">
        <f t="shared" si="3"/>
        <v>0</v>
      </c>
      <c r="L16" s="17">
        <f t="shared" si="3"/>
        <v>0</v>
      </c>
      <c r="M16" s="17">
        <f t="shared" si="3"/>
        <v>0</v>
      </c>
      <c r="N16" s="17">
        <f t="shared" si="3"/>
        <v>0</v>
      </c>
      <c r="O16" s="17">
        <f t="shared" si="3"/>
        <v>0</v>
      </c>
      <c r="P16" s="17">
        <f t="shared" si="3"/>
        <v>0</v>
      </c>
      <c r="Q16" s="17">
        <f t="shared" si="3"/>
        <v>0</v>
      </c>
      <c r="R16" s="17">
        <f t="shared" si="3"/>
        <v>0</v>
      </c>
      <c r="S16" s="17">
        <f t="shared" si="3"/>
        <v>0</v>
      </c>
      <c r="T16" s="17">
        <f t="shared" si="3"/>
        <v>0</v>
      </c>
      <c r="U16" s="17">
        <f t="shared" si="3"/>
        <v>0</v>
      </c>
      <c r="V16" s="17">
        <f t="shared" si="3"/>
        <v>0</v>
      </c>
      <c r="W16" s="17">
        <f t="shared" si="3"/>
        <v>0</v>
      </c>
      <c r="X16" s="17">
        <f t="shared" si="3"/>
        <v>0</v>
      </c>
      <c r="Y16" s="17">
        <f t="shared" si="3"/>
        <v>0</v>
      </c>
      <c r="Z16" s="17">
        <f t="shared" si="3"/>
        <v>0</v>
      </c>
    </row>
    <row r="17" spans="1:26" s="9" customFormat="1" x14ac:dyDescent="0.2">
      <c r="E17" s="9" t="str">
        <f xml:space="preserve"> Index!E$23</f>
        <v>Adjust from 2017-18 to report year (year ending 2024)</v>
      </c>
      <c r="F17" s="185">
        <f xml:space="preserve"> Index!F$23</f>
        <v>1.2259332023575638</v>
      </c>
      <c r="G17" s="9" t="str">
        <f xml:space="preserve"> Index!G$23</f>
        <v>Factor</v>
      </c>
      <c r="J17" s="21"/>
      <c r="K17" s="21"/>
      <c r="L17" s="21"/>
      <c r="M17" s="21"/>
      <c r="N17" s="21"/>
      <c r="O17" s="21"/>
      <c r="P17" s="21"/>
      <c r="Q17" s="21"/>
      <c r="R17" s="21"/>
      <c r="S17" s="21"/>
      <c r="T17" s="21"/>
      <c r="U17" s="21"/>
      <c r="V17" s="21"/>
      <c r="W17" s="21"/>
      <c r="X17" s="21"/>
      <c r="Y17" s="21"/>
      <c r="Z17" s="21"/>
    </row>
    <row r="18" spans="1:26" s="13" customFormat="1" x14ac:dyDescent="0.2">
      <c r="E18" s="13" t="s">
        <v>245</v>
      </c>
      <c r="G18" s="13" t="s">
        <v>292</v>
      </c>
      <c r="J18" s="17">
        <f xml:space="preserve"> J15 / $F$17</f>
        <v>-0.95103695662407417</v>
      </c>
      <c r="K18" s="17">
        <f t="shared" ref="K18:Z18" si="4" xml:space="preserve"> K15 / $F$17</f>
        <v>2.1945672285208624</v>
      </c>
      <c r="L18" s="17">
        <f t="shared" si="4"/>
        <v>0.31996653267414166</v>
      </c>
      <c r="M18" s="17">
        <f t="shared" si="4"/>
        <v>2.0597608330440735</v>
      </c>
      <c r="N18" s="17">
        <f t="shared" si="4"/>
        <v>7.2728294191008958E-2</v>
      </c>
      <c r="O18" s="17">
        <f t="shared" si="4"/>
        <v>3.1928126433705479</v>
      </c>
      <c r="P18" s="17">
        <f t="shared" si="4"/>
        <v>0.13709495893827348</v>
      </c>
      <c r="Q18" s="17">
        <f t="shared" si="4"/>
        <v>-0.19079407159770848</v>
      </c>
      <c r="R18" s="17">
        <f t="shared" si="4"/>
        <v>-0.25301993128123001</v>
      </c>
      <c r="S18" s="17">
        <f t="shared" si="4"/>
        <v>-0.40487669891524303</v>
      </c>
      <c r="T18" s="17">
        <f t="shared" si="4"/>
        <v>0</v>
      </c>
      <c r="U18" s="17">
        <f t="shared" si="4"/>
        <v>-1.1471642875621852</v>
      </c>
      <c r="V18" s="17">
        <f t="shared" si="4"/>
        <v>-3.4270145659427027</v>
      </c>
      <c r="W18" s="17">
        <f t="shared" si="4"/>
        <v>-12.211073531928083</v>
      </c>
      <c r="X18" s="17">
        <f t="shared" si="4"/>
        <v>1.8001478932249191</v>
      </c>
      <c r="Y18" s="17">
        <f t="shared" si="4"/>
        <v>1.4321095337151488</v>
      </c>
      <c r="Z18" s="17">
        <f t="shared" si="4"/>
        <v>-0.14428798683293881</v>
      </c>
    </row>
    <row r="19" spans="1:26" s="13" customFormat="1" x14ac:dyDescent="0.2">
      <c r="E19" s="13" t="s">
        <v>217</v>
      </c>
      <c r="G19" s="13" t="s">
        <v>292</v>
      </c>
      <c r="J19" s="17">
        <f xml:space="preserve"> J16 / $F$17</f>
        <v>0</v>
      </c>
      <c r="K19" s="17">
        <f t="shared" ref="K19:Z19" si="5" xml:space="preserve"> K16 / $F$17</f>
        <v>0</v>
      </c>
      <c r="L19" s="17">
        <f t="shared" si="5"/>
        <v>0</v>
      </c>
      <c r="M19" s="17">
        <f t="shared" si="5"/>
        <v>0</v>
      </c>
      <c r="N19" s="17">
        <f t="shared" si="5"/>
        <v>0</v>
      </c>
      <c r="O19" s="17">
        <f t="shared" si="5"/>
        <v>0</v>
      </c>
      <c r="P19" s="17">
        <f t="shared" si="5"/>
        <v>0</v>
      </c>
      <c r="Q19" s="17">
        <f t="shared" si="5"/>
        <v>0</v>
      </c>
      <c r="R19" s="17">
        <f t="shared" si="5"/>
        <v>0</v>
      </c>
      <c r="S19" s="17">
        <f t="shared" si="5"/>
        <v>0</v>
      </c>
      <c r="T19" s="17">
        <f t="shared" si="5"/>
        <v>0</v>
      </c>
      <c r="U19" s="17">
        <f t="shared" si="5"/>
        <v>0</v>
      </c>
      <c r="V19" s="17">
        <f t="shared" si="5"/>
        <v>0</v>
      </c>
      <c r="W19" s="17">
        <f t="shared" si="5"/>
        <v>0</v>
      </c>
      <c r="X19" s="17">
        <f t="shared" si="5"/>
        <v>0</v>
      </c>
      <c r="Y19" s="17">
        <f t="shared" si="5"/>
        <v>0</v>
      </c>
      <c r="Z19" s="17">
        <f t="shared" si="5"/>
        <v>0</v>
      </c>
    </row>
    <row r="20" spans="1:26" s="13" customFormat="1" x14ac:dyDescent="0.2"/>
    <row r="21" spans="1:26" s="13" customFormat="1" x14ac:dyDescent="0.2">
      <c r="E21" s="13" t="str">
        <f xml:space="preserve"> E$18</f>
        <v>Standard performance payments</v>
      </c>
      <c r="G21" s="13" t="str">
        <f xml:space="preserve"> G$18</f>
        <v>£m (2017-18 FYA CPIH prices)</v>
      </c>
      <c r="J21" s="17">
        <f xml:space="preserve"> J$18</f>
        <v>-0.95103695662407417</v>
      </c>
      <c r="K21" s="17">
        <f t="shared" ref="K21:Z21" si="6" xml:space="preserve"> K$18</f>
        <v>2.1945672285208624</v>
      </c>
      <c r="L21" s="17">
        <f t="shared" si="6"/>
        <v>0.31996653267414166</v>
      </c>
      <c r="M21" s="17">
        <f t="shared" si="6"/>
        <v>2.0597608330440735</v>
      </c>
      <c r="N21" s="17">
        <f t="shared" si="6"/>
        <v>7.2728294191008958E-2</v>
      </c>
      <c r="O21" s="17">
        <f t="shared" si="6"/>
        <v>3.1928126433705479</v>
      </c>
      <c r="P21" s="17">
        <f t="shared" si="6"/>
        <v>0.13709495893827348</v>
      </c>
      <c r="Q21" s="17">
        <f t="shared" si="6"/>
        <v>-0.19079407159770848</v>
      </c>
      <c r="R21" s="17">
        <f t="shared" si="6"/>
        <v>-0.25301993128123001</v>
      </c>
      <c r="S21" s="17">
        <f t="shared" si="6"/>
        <v>-0.40487669891524303</v>
      </c>
      <c r="T21" s="17">
        <f t="shared" si="6"/>
        <v>0</v>
      </c>
      <c r="U21" s="17">
        <f t="shared" si="6"/>
        <v>-1.1471642875621852</v>
      </c>
      <c r="V21" s="17">
        <f t="shared" si="6"/>
        <v>-3.4270145659427027</v>
      </c>
      <c r="W21" s="17">
        <f t="shared" si="6"/>
        <v>-12.211073531928083</v>
      </c>
      <c r="X21" s="17">
        <f t="shared" si="6"/>
        <v>1.8001478932249191</v>
      </c>
      <c r="Y21" s="17">
        <f t="shared" si="6"/>
        <v>1.4321095337151488</v>
      </c>
      <c r="Z21" s="17">
        <f t="shared" si="6"/>
        <v>-0.14428798683293881</v>
      </c>
    </row>
    <row r="22" spans="1:26" s="13" customFormat="1" x14ac:dyDescent="0.2">
      <c r="E22" s="13" t="str">
        <f xml:space="preserve"> E$19</f>
        <v>Higher performance payments</v>
      </c>
      <c r="G22" s="13" t="str">
        <f xml:space="preserve"> G$19</f>
        <v>£m (2017-18 FYA CPIH prices)</v>
      </c>
      <c r="J22" s="17">
        <f xml:space="preserve"> J$19</f>
        <v>0</v>
      </c>
      <c r="K22" s="17">
        <f t="shared" ref="K22:Z22" si="7" xml:space="preserve"> K$19</f>
        <v>0</v>
      </c>
      <c r="L22" s="17">
        <f t="shared" si="7"/>
        <v>0</v>
      </c>
      <c r="M22" s="17">
        <f t="shared" si="7"/>
        <v>0</v>
      </c>
      <c r="N22" s="17">
        <f t="shared" si="7"/>
        <v>0</v>
      </c>
      <c r="O22" s="17">
        <f t="shared" si="7"/>
        <v>0</v>
      </c>
      <c r="P22" s="17">
        <f t="shared" si="7"/>
        <v>0</v>
      </c>
      <c r="Q22" s="17">
        <f t="shared" si="7"/>
        <v>0</v>
      </c>
      <c r="R22" s="17">
        <f t="shared" si="7"/>
        <v>0</v>
      </c>
      <c r="S22" s="17">
        <f t="shared" si="7"/>
        <v>0</v>
      </c>
      <c r="T22" s="17">
        <f t="shared" si="7"/>
        <v>0</v>
      </c>
      <c r="U22" s="17">
        <f t="shared" si="7"/>
        <v>0</v>
      </c>
      <c r="V22" s="17">
        <f t="shared" si="7"/>
        <v>0</v>
      </c>
      <c r="W22" s="17">
        <f t="shared" si="7"/>
        <v>0</v>
      </c>
      <c r="X22" s="17">
        <f t="shared" si="7"/>
        <v>0</v>
      </c>
      <c r="Y22" s="17">
        <f t="shared" si="7"/>
        <v>0</v>
      </c>
      <c r="Z22" s="17">
        <f t="shared" si="7"/>
        <v>0</v>
      </c>
    </row>
    <row r="23" spans="1:26" s="13" customFormat="1" x14ac:dyDescent="0.2">
      <c r="E23" s="13" t="s">
        <v>293</v>
      </c>
      <c r="G23" s="13" t="s">
        <v>292</v>
      </c>
      <c r="J23" s="17">
        <f>SUM(J21:J22)</f>
        <v>-0.95103695662407417</v>
      </c>
      <c r="K23" s="17">
        <f t="shared" ref="K23:Z23" si="8">SUM(K21:K22)</f>
        <v>2.1945672285208624</v>
      </c>
      <c r="L23" s="17">
        <f t="shared" si="8"/>
        <v>0.31996653267414166</v>
      </c>
      <c r="M23" s="17">
        <f t="shared" si="8"/>
        <v>2.0597608330440735</v>
      </c>
      <c r="N23" s="17">
        <f t="shared" si="8"/>
        <v>7.2728294191008958E-2</v>
      </c>
      <c r="O23" s="17">
        <f t="shared" si="8"/>
        <v>3.1928126433705479</v>
      </c>
      <c r="P23" s="17">
        <f t="shared" si="8"/>
        <v>0.13709495893827348</v>
      </c>
      <c r="Q23" s="17">
        <f t="shared" si="8"/>
        <v>-0.19079407159770848</v>
      </c>
      <c r="R23" s="17">
        <f t="shared" si="8"/>
        <v>-0.25301993128123001</v>
      </c>
      <c r="S23" s="17">
        <f t="shared" si="8"/>
        <v>-0.40487669891524303</v>
      </c>
      <c r="T23" s="17">
        <f t="shared" si="8"/>
        <v>0</v>
      </c>
      <c r="U23" s="17">
        <f t="shared" si="8"/>
        <v>-1.1471642875621852</v>
      </c>
      <c r="V23" s="17">
        <f t="shared" si="8"/>
        <v>-3.4270145659427027</v>
      </c>
      <c r="W23" s="17">
        <f t="shared" si="8"/>
        <v>-12.211073531928083</v>
      </c>
      <c r="X23" s="17">
        <f t="shared" si="8"/>
        <v>1.8001478932249191</v>
      </c>
      <c r="Y23" s="17">
        <f t="shared" si="8"/>
        <v>1.4321095337151488</v>
      </c>
      <c r="Z23" s="17">
        <f t="shared" si="8"/>
        <v>-0.14428798683293881</v>
      </c>
    </row>
    <row r="24" spans="1:26" x14ac:dyDescent="0.2">
      <c r="J24" s="23"/>
      <c r="K24" s="23"/>
      <c r="L24" s="23"/>
      <c r="M24" s="23"/>
      <c r="N24" s="23"/>
      <c r="O24" s="23"/>
      <c r="P24" s="23"/>
      <c r="Q24" s="23"/>
      <c r="R24" s="23"/>
      <c r="S24" s="23"/>
      <c r="T24" s="23"/>
      <c r="U24" s="23"/>
      <c r="V24" s="23"/>
      <c r="W24" s="23"/>
      <c r="X24" s="23"/>
      <c r="Y24" s="23"/>
      <c r="Z24" s="23"/>
    </row>
    <row r="25" spans="1:26" s="2" customFormat="1" ht="13.5" x14ac:dyDescent="0.25">
      <c r="A25" s="2" t="s">
        <v>294</v>
      </c>
    </row>
    <row r="26" spans="1:26" x14ac:dyDescent="0.2">
      <c r="C26" s="6"/>
    </row>
    <row r="27" spans="1:26" x14ac:dyDescent="0.2">
      <c r="B27" s="8" t="s">
        <v>293</v>
      </c>
      <c r="C27" s="6"/>
    </row>
    <row r="28" spans="1:26" s="19" customFormat="1" x14ac:dyDescent="0.2">
      <c r="C28" s="35"/>
      <c r="E28" s="19" t="str">
        <f>Inputs!E7</f>
        <v>Affinity Water</v>
      </c>
      <c r="F28" s="36">
        <f t="shared" ref="F28:F44" si="9">INDEX($J$23:$Z$23,MATCH(E28,$J$5:$Z$5,0))</f>
        <v>-0.95103695662407417</v>
      </c>
      <c r="G28" s="19" t="s">
        <v>292</v>
      </c>
    </row>
    <row r="29" spans="1:26" s="19" customFormat="1" x14ac:dyDescent="0.2">
      <c r="C29" s="35"/>
      <c r="E29" s="19" t="str">
        <f>Inputs!E8</f>
        <v>Anglian Water</v>
      </c>
      <c r="F29" s="36">
        <f t="shared" si="9"/>
        <v>2.1945672285208624</v>
      </c>
      <c r="G29" s="19" t="s">
        <v>292</v>
      </c>
    </row>
    <row r="30" spans="1:26" s="19" customFormat="1" x14ac:dyDescent="0.2">
      <c r="C30" s="35"/>
      <c r="E30" s="19" t="str">
        <f>Inputs!E9</f>
        <v>Bristol Water</v>
      </c>
      <c r="F30" s="36">
        <f t="shared" si="9"/>
        <v>0.31996653267414166</v>
      </c>
      <c r="G30" s="19" t="s">
        <v>292</v>
      </c>
    </row>
    <row r="31" spans="1:26" s="19" customFormat="1" x14ac:dyDescent="0.2">
      <c r="C31" s="35"/>
      <c r="E31" s="19" t="str">
        <f>Inputs!E10</f>
        <v>Dŵr Cymru</v>
      </c>
      <c r="F31" s="36">
        <f t="shared" si="9"/>
        <v>2.0597608330440735</v>
      </c>
      <c r="G31" s="19" t="s">
        <v>292</v>
      </c>
    </row>
    <row r="32" spans="1:26" s="19" customFormat="1" x14ac:dyDescent="0.2">
      <c r="C32" s="35"/>
      <c r="E32" s="19" t="str">
        <f>Inputs!E11</f>
        <v>Hafren Dyfrdwy</v>
      </c>
      <c r="F32" s="36">
        <f t="shared" si="9"/>
        <v>7.2728294191008958E-2</v>
      </c>
      <c r="G32" s="19" t="s">
        <v>292</v>
      </c>
    </row>
    <row r="33" spans="1:7" s="19" customFormat="1" x14ac:dyDescent="0.2">
      <c r="C33" s="35"/>
      <c r="E33" s="19" t="str">
        <f>Inputs!E12</f>
        <v>Northumbrian Water</v>
      </c>
      <c r="F33" s="36">
        <f t="shared" si="9"/>
        <v>3.1928126433705479</v>
      </c>
      <c r="G33" s="19" t="s">
        <v>292</v>
      </c>
    </row>
    <row r="34" spans="1:7" s="19" customFormat="1" x14ac:dyDescent="0.2">
      <c r="C34" s="35"/>
      <c r="E34" s="19" t="str">
        <f>Inputs!E13</f>
        <v>Portsmouth Water</v>
      </c>
      <c r="F34" s="36">
        <f t="shared" si="9"/>
        <v>0.13709495893827348</v>
      </c>
      <c r="G34" s="19" t="s">
        <v>292</v>
      </c>
    </row>
    <row r="35" spans="1:7" s="19" customFormat="1" x14ac:dyDescent="0.2">
      <c r="C35" s="35"/>
      <c r="E35" s="19" t="str">
        <f>Inputs!E14</f>
        <v>SES Water</v>
      </c>
      <c r="F35" s="36">
        <f t="shared" si="9"/>
        <v>-0.19079407159770848</v>
      </c>
      <c r="G35" s="19" t="s">
        <v>292</v>
      </c>
    </row>
    <row r="36" spans="1:7" s="19" customFormat="1" x14ac:dyDescent="0.2">
      <c r="C36" s="35"/>
      <c r="E36" s="19" t="str">
        <f>Inputs!E15</f>
        <v>Severn Trent Water</v>
      </c>
      <c r="F36" s="36">
        <f t="shared" si="9"/>
        <v>-0.25301993128123001</v>
      </c>
      <c r="G36" s="19" t="s">
        <v>292</v>
      </c>
    </row>
    <row r="37" spans="1:7" s="19" customFormat="1" x14ac:dyDescent="0.2">
      <c r="C37" s="35"/>
      <c r="E37" s="19" t="str">
        <f>Inputs!E16</f>
        <v>South East Water</v>
      </c>
      <c r="F37" s="36">
        <f t="shared" si="9"/>
        <v>-0.40487669891524303</v>
      </c>
      <c r="G37" s="19" t="s">
        <v>292</v>
      </c>
    </row>
    <row r="38" spans="1:7" s="19" customFormat="1" x14ac:dyDescent="0.2">
      <c r="C38" s="35"/>
      <c r="E38" s="19" t="str">
        <f>Inputs!E17</f>
        <v>South Staffs Water</v>
      </c>
      <c r="F38" s="36">
        <f t="shared" si="9"/>
        <v>0</v>
      </c>
      <c r="G38" s="19" t="s">
        <v>292</v>
      </c>
    </row>
    <row r="39" spans="1:7" s="19" customFormat="1" x14ac:dyDescent="0.2">
      <c r="C39" s="35"/>
      <c r="E39" s="19" t="str">
        <f>Inputs!E18</f>
        <v>South West Water</v>
      </c>
      <c r="F39" s="36">
        <f t="shared" si="9"/>
        <v>-1.1471642875621852</v>
      </c>
      <c r="G39" s="19" t="s">
        <v>292</v>
      </c>
    </row>
    <row r="40" spans="1:7" s="19" customFormat="1" x14ac:dyDescent="0.2">
      <c r="C40" s="35"/>
      <c r="E40" s="19" t="str">
        <f>Inputs!E19</f>
        <v>Southern Water</v>
      </c>
      <c r="F40" s="36">
        <f t="shared" si="9"/>
        <v>-3.4270145659427027</v>
      </c>
      <c r="G40" s="19" t="s">
        <v>292</v>
      </c>
    </row>
    <row r="41" spans="1:7" s="19" customFormat="1" x14ac:dyDescent="0.2">
      <c r="C41" s="35"/>
      <c r="E41" s="19" t="str">
        <f>Inputs!E20</f>
        <v>Thames Water</v>
      </c>
      <c r="F41" s="36">
        <f t="shared" si="9"/>
        <v>-12.211073531928083</v>
      </c>
      <c r="G41" s="19" t="s">
        <v>292</v>
      </c>
    </row>
    <row r="42" spans="1:7" s="19" customFormat="1" x14ac:dyDescent="0.2">
      <c r="C42" s="35"/>
      <c r="E42" s="19" t="str">
        <f>Inputs!E21</f>
        <v>United Utilities</v>
      </c>
      <c r="F42" s="36">
        <f t="shared" si="9"/>
        <v>1.8001478932249191</v>
      </c>
      <c r="G42" s="19" t="s">
        <v>292</v>
      </c>
    </row>
    <row r="43" spans="1:7" s="19" customFormat="1" x14ac:dyDescent="0.2">
      <c r="C43" s="35"/>
      <c r="E43" s="19" t="str">
        <f>Inputs!E22</f>
        <v>Wessex Water</v>
      </c>
      <c r="F43" s="36">
        <f t="shared" si="9"/>
        <v>1.4321095337151488</v>
      </c>
      <c r="G43" s="19" t="s">
        <v>292</v>
      </c>
    </row>
    <row r="44" spans="1:7" s="19" customFormat="1" x14ac:dyDescent="0.2">
      <c r="C44" s="35"/>
      <c r="E44" s="19" t="str">
        <f>Inputs!E23</f>
        <v>Yorkshire Water</v>
      </c>
      <c r="F44" s="36">
        <f t="shared" si="9"/>
        <v>-0.14428798683293881</v>
      </c>
      <c r="G44" s="19" t="s">
        <v>292</v>
      </c>
    </row>
    <row r="45" spans="1:7" x14ac:dyDescent="0.2">
      <c r="C45" s="6"/>
    </row>
    <row r="46" spans="1:7" x14ac:dyDescent="0.2">
      <c r="B46" s="8" t="s">
        <v>245</v>
      </c>
      <c r="C46" s="6"/>
    </row>
    <row r="47" spans="1:7" x14ac:dyDescent="0.2">
      <c r="A47" s="19"/>
      <c r="B47" s="19"/>
      <c r="C47" s="35"/>
      <c r="D47" s="19"/>
      <c r="E47" s="19" t="str">
        <f>Inputs!E7</f>
        <v>Affinity Water</v>
      </c>
      <c r="F47" s="36">
        <f t="shared" ref="F47:F63" si="10">INDEX($J$21:$Z$21,MATCH(E47,$J$5:$Z$5,0))</f>
        <v>-0.95103695662407417</v>
      </c>
      <c r="G47" s="19" t="s">
        <v>292</v>
      </c>
    </row>
    <row r="48" spans="1:7" x14ac:dyDescent="0.2">
      <c r="A48" s="19"/>
      <c r="B48" s="19"/>
      <c r="C48" s="35"/>
      <c r="D48" s="19"/>
      <c r="E48" s="19" t="str">
        <f>Inputs!E8</f>
        <v>Anglian Water</v>
      </c>
      <c r="F48" s="36">
        <f t="shared" si="10"/>
        <v>2.1945672285208624</v>
      </c>
      <c r="G48" s="19" t="s">
        <v>292</v>
      </c>
    </row>
    <row r="49" spans="1:7" x14ac:dyDescent="0.2">
      <c r="A49" s="19"/>
      <c r="B49" s="19"/>
      <c r="C49" s="35"/>
      <c r="D49" s="19"/>
      <c r="E49" s="19" t="str">
        <f>Inputs!E9</f>
        <v>Bristol Water</v>
      </c>
      <c r="F49" s="36">
        <f t="shared" si="10"/>
        <v>0.31996653267414166</v>
      </c>
      <c r="G49" s="19" t="s">
        <v>292</v>
      </c>
    </row>
    <row r="50" spans="1:7" x14ac:dyDescent="0.2">
      <c r="A50" s="19"/>
      <c r="B50" s="19"/>
      <c r="C50" s="35"/>
      <c r="D50" s="19"/>
      <c r="E50" s="19" t="str">
        <f>Inputs!E10</f>
        <v>Dŵr Cymru</v>
      </c>
      <c r="F50" s="36">
        <f t="shared" si="10"/>
        <v>2.0597608330440735</v>
      </c>
      <c r="G50" s="19" t="s">
        <v>292</v>
      </c>
    </row>
    <row r="51" spans="1:7" x14ac:dyDescent="0.2">
      <c r="A51" s="19"/>
      <c r="B51" s="19"/>
      <c r="C51" s="35"/>
      <c r="D51" s="19"/>
      <c r="E51" s="19" t="str">
        <f>Inputs!E11</f>
        <v>Hafren Dyfrdwy</v>
      </c>
      <c r="F51" s="36">
        <f t="shared" si="10"/>
        <v>7.2728294191008958E-2</v>
      </c>
      <c r="G51" s="19" t="s">
        <v>292</v>
      </c>
    </row>
    <row r="52" spans="1:7" x14ac:dyDescent="0.2">
      <c r="A52" s="19"/>
      <c r="B52" s="19"/>
      <c r="C52" s="35"/>
      <c r="D52" s="19"/>
      <c r="E52" s="19" t="str">
        <f>Inputs!E12</f>
        <v>Northumbrian Water</v>
      </c>
      <c r="F52" s="36">
        <f t="shared" si="10"/>
        <v>3.1928126433705479</v>
      </c>
      <c r="G52" s="19" t="s">
        <v>292</v>
      </c>
    </row>
    <row r="53" spans="1:7" x14ac:dyDescent="0.2">
      <c r="A53" s="19"/>
      <c r="B53" s="19"/>
      <c r="C53" s="35"/>
      <c r="D53" s="19"/>
      <c r="E53" s="19" t="str">
        <f>Inputs!E13</f>
        <v>Portsmouth Water</v>
      </c>
      <c r="F53" s="36">
        <f t="shared" si="10"/>
        <v>0.13709495893827348</v>
      </c>
      <c r="G53" s="19" t="s">
        <v>292</v>
      </c>
    </row>
    <row r="54" spans="1:7" x14ac:dyDescent="0.2">
      <c r="A54" s="19"/>
      <c r="B54" s="19"/>
      <c r="C54" s="35"/>
      <c r="D54" s="19"/>
      <c r="E54" s="19" t="str">
        <f>Inputs!E14</f>
        <v>SES Water</v>
      </c>
      <c r="F54" s="36">
        <f t="shared" si="10"/>
        <v>-0.19079407159770848</v>
      </c>
      <c r="G54" s="19" t="s">
        <v>292</v>
      </c>
    </row>
    <row r="55" spans="1:7" x14ac:dyDescent="0.2">
      <c r="A55" s="19"/>
      <c r="B55" s="19"/>
      <c r="C55" s="35"/>
      <c r="D55" s="19"/>
      <c r="E55" s="19" t="str">
        <f>Inputs!E15</f>
        <v>Severn Trent Water</v>
      </c>
      <c r="F55" s="36">
        <f t="shared" si="10"/>
        <v>-0.25301993128123001</v>
      </c>
      <c r="G55" s="19" t="s">
        <v>292</v>
      </c>
    </row>
    <row r="56" spans="1:7" x14ac:dyDescent="0.2">
      <c r="A56" s="19"/>
      <c r="B56" s="19"/>
      <c r="C56" s="35"/>
      <c r="D56" s="19"/>
      <c r="E56" s="19" t="str">
        <f>Inputs!E16</f>
        <v>South East Water</v>
      </c>
      <c r="F56" s="36">
        <f t="shared" si="10"/>
        <v>-0.40487669891524303</v>
      </c>
      <c r="G56" s="19" t="s">
        <v>292</v>
      </c>
    </row>
    <row r="57" spans="1:7" x14ac:dyDescent="0.2">
      <c r="A57" s="19"/>
      <c r="B57" s="19"/>
      <c r="C57" s="35"/>
      <c r="D57" s="19"/>
      <c r="E57" s="19" t="str">
        <f>Inputs!E17</f>
        <v>South Staffs Water</v>
      </c>
      <c r="F57" s="36">
        <f t="shared" si="10"/>
        <v>0</v>
      </c>
      <c r="G57" s="19" t="s">
        <v>292</v>
      </c>
    </row>
    <row r="58" spans="1:7" x14ac:dyDescent="0.2">
      <c r="A58" s="19"/>
      <c r="B58" s="19"/>
      <c r="C58" s="35"/>
      <c r="D58" s="19"/>
      <c r="E58" s="19" t="str">
        <f>Inputs!E18</f>
        <v>South West Water</v>
      </c>
      <c r="F58" s="36">
        <f t="shared" si="10"/>
        <v>-1.1471642875621852</v>
      </c>
      <c r="G58" s="19" t="s">
        <v>292</v>
      </c>
    </row>
    <row r="59" spans="1:7" x14ac:dyDescent="0.2">
      <c r="A59" s="19"/>
      <c r="B59" s="19"/>
      <c r="C59" s="35"/>
      <c r="D59" s="19"/>
      <c r="E59" s="19" t="str">
        <f>Inputs!E19</f>
        <v>Southern Water</v>
      </c>
      <c r="F59" s="36">
        <f t="shared" si="10"/>
        <v>-3.4270145659427027</v>
      </c>
      <c r="G59" s="19" t="s">
        <v>292</v>
      </c>
    </row>
    <row r="60" spans="1:7" x14ac:dyDescent="0.2">
      <c r="A60" s="19"/>
      <c r="B60" s="19"/>
      <c r="C60" s="35"/>
      <c r="D60" s="19"/>
      <c r="E60" s="19" t="str">
        <f>Inputs!E20</f>
        <v>Thames Water</v>
      </c>
      <c r="F60" s="36">
        <f t="shared" si="10"/>
        <v>-12.211073531928083</v>
      </c>
      <c r="G60" s="19" t="s">
        <v>292</v>
      </c>
    </row>
    <row r="61" spans="1:7" x14ac:dyDescent="0.2">
      <c r="A61" s="19"/>
      <c r="B61" s="19"/>
      <c r="C61" s="35"/>
      <c r="D61" s="19"/>
      <c r="E61" s="19" t="str">
        <f>Inputs!E21</f>
        <v>United Utilities</v>
      </c>
      <c r="F61" s="36">
        <f t="shared" si="10"/>
        <v>1.8001478932249191</v>
      </c>
      <c r="G61" s="19" t="s">
        <v>292</v>
      </c>
    </row>
    <row r="62" spans="1:7" x14ac:dyDescent="0.2">
      <c r="A62" s="19"/>
      <c r="B62" s="19"/>
      <c r="C62" s="35"/>
      <c r="D62" s="19"/>
      <c r="E62" s="19" t="str">
        <f>Inputs!E22</f>
        <v>Wessex Water</v>
      </c>
      <c r="F62" s="36">
        <f t="shared" si="10"/>
        <v>1.4321095337151488</v>
      </c>
      <c r="G62" s="19" t="s">
        <v>292</v>
      </c>
    </row>
    <row r="63" spans="1:7" x14ac:dyDescent="0.2">
      <c r="A63" s="19"/>
      <c r="B63" s="19"/>
      <c r="C63" s="35"/>
      <c r="D63" s="19"/>
      <c r="E63" s="19" t="str">
        <f>Inputs!E23</f>
        <v>Yorkshire Water</v>
      </c>
      <c r="F63" s="36">
        <f t="shared" si="10"/>
        <v>-0.14428798683293881</v>
      </c>
      <c r="G63" s="19" t="s">
        <v>292</v>
      </c>
    </row>
    <row r="65" spans="1:7" x14ac:dyDescent="0.2">
      <c r="B65" s="8" t="s">
        <v>217</v>
      </c>
      <c r="C65" s="6"/>
    </row>
    <row r="66" spans="1:7" x14ac:dyDescent="0.2">
      <c r="A66" s="19"/>
      <c r="B66" s="19"/>
      <c r="C66" s="35"/>
      <c r="D66" s="19"/>
      <c r="E66" s="19" t="str">
        <f>Inputs!E7</f>
        <v>Affinity Water</v>
      </c>
      <c r="F66" s="36">
        <f t="shared" ref="F66:F82" si="11">INDEX($J$22:$Z$22,MATCH(E66,$J$5:$Z$5,0))</f>
        <v>0</v>
      </c>
      <c r="G66" s="19" t="s">
        <v>292</v>
      </c>
    </row>
    <row r="67" spans="1:7" x14ac:dyDescent="0.2">
      <c r="A67" s="19"/>
      <c r="B67" s="19"/>
      <c r="C67" s="35"/>
      <c r="D67" s="19"/>
      <c r="E67" s="19" t="str">
        <f>Inputs!E8</f>
        <v>Anglian Water</v>
      </c>
      <c r="F67" s="36">
        <f t="shared" si="11"/>
        <v>0</v>
      </c>
      <c r="G67" s="19" t="s">
        <v>292</v>
      </c>
    </row>
    <row r="68" spans="1:7" x14ac:dyDescent="0.2">
      <c r="A68" s="19"/>
      <c r="B68" s="19"/>
      <c r="C68" s="35"/>
      <c r="D68" s="19"/>
      <c r="E68" s="19" t="str">
        <f>Inputs!E9</f>
        <v>Bristol Water</v>
      </c>
      <c r="F68" s="36">
        <f t="shared" si="11"/>
        <v>0</v>
      </c>
      <c r="G68" s="19" t="s">
        <v>292</v>
      </c>
    </row>
    <row r="69" spans="1:7" x14ac:dyDescent="0.2">
      <c r="A69" s="19"/>
      <c r="B69" s="19"/>
      <c r="C69" s="35"/>
      <c r="D69" s="19"/>
      <c r="E69" s="19" t="str">
        <f>Inputs!E10</f>
        <v>Dŵr Cymru</v>
      </c>
      <c r="F69" s="36">
        <f t="shared" si="11"/>
        <v>0</v>
      </c>
      <c r="G69" s="19" t="s">
        <v>292</v>
      </c>
    </row>
    <row r="70" spans="1:7" x14ac:dyDescent="0.2">
      <c r="A70" s="19"/>
      <c r="B70" s="19"/>
      <c r="C70" s="35"/>
      <c r="D70" s="19"/>
      <c r="E70" s="19" t="str">
        <f>Inputs!E11</f>
        <v>Hafren Dyfrdwy</v>
      </c>
      <c r="F70" s="36">
        <f t="shared" si="11"/>
        <v>0</v>
      </c>
      <c r="G70" s="19" t="s">
        <v>292</v>
      </c>
    </row>
    <row r="71" spans="1:7" x14ac:dyDescent="0.2">
      <c r="A71" s="19"/>
      <c r="B71" s="19"/>
      <c r="C71" s="35"/>
      <c r="D71" s="19"/>
      <c r="E71" s="19" t="str">
        <f>Inputs!E12</f>
        <v>Northumbrian Water</v>
      </c>
      <c r="F71" s="36">
        <f t="shared" si="11"/>
        <v>0</v>
      </c>
      <c r="G71" s="19" t="s">
        <v>292</v>
      </c>
    </row>
    <row r="72" spans="1:7" x14ac:dyDescent="0.2">
      <c r="A72" s="19"/>
      <c r="B72" s="19"/>
      <c r="C72" s="35"/>
      <c r="D72" s="19"/>
      <c r="E72" s="19" t="str">
        <f>Inputs!E13</f>
        <v>Portsmouth Water</v>
      </c>
      <c r="F72" s="36">
        <f t="shared" si="11"/>
        <v>0</v>
      </c>
      <c r="G72" s="19" t="s">
        <v>292</v>
      </c>
    </row>
    <row r="73" spans="1:7" x14ac:dyDescent="0.2">
      <c r="A73" s="19"/>
      <c r="B73" s="19"/>
      <c r="C73" s="35"/>
      <c r="D73" s="19"/>
      <c r="E73" s="19" t="str">
        <f>Inputs!E14</f>
        <v>SES Water</v>
      </c>
      <c r="F73" s="36">
        <f t="shared" si="11"/>
        <v>0</v>
      </c>
      <c r="G73" s="19" t="s">
        <v>292</v>
      </c>
    </row>
    <row r="74" spans="1:7" x14ac:dyDescent="0.2">
      <c r="A74" s="19"/>
      <c r="B74" s="19"/>
      <c r="C74" s="35"/>
      <c r="D74" s="19"/>
      <c r="E74" s="19" t="str">
        <f>Inputs!E15</f>
        <v>Severn Trent Water</v>
      </c>
      <c r="F74" s="36">
        <f t="shared" si="11"/>
        <v>0</v>
      </c>
      <c r="G74" s="19" t="s">
        <v>292</v>
      </c>
    </row>
    <row r="75" spans="1:7" x14ac:dyDescent="0.2">
      <c r="A75" s="19"/>
      <c r="B75" s="19"/>
      <c r="C75" s="35"/>
      <c r="D75" s="19"/>
      <c r="E75" s="19" t="str">
        <f>Inputs!E16</f>
        <v>South East Water</v>
      </c>
      <c r="F75" s="36">
        <f t="shared" si="11"/>
        <v>0</v>
      </c>
      <c r="G75" s="19" t="s">
        <v>292</v>
      </c>
    </row>
    <row r="76" spans="1:7" x14ac:dyDescent="0.2">
      <c r="A76" s="19"/>
      <c r="B76" s="19"/>
      <c r="C76" s="35"/>
      <c r="D76" s="19"/>
      <c r="E76" s="19" t="str">
        <f>Inputs!E17</f>
        <v>South Staffs Water</v>
      </c>
      <c r="F76" s="36">
        <f t="shared" si="11"/>
        <v>0</v>
      </c>
      <c r="G76" s="19" t="s">
        <v>292</v>
      </c>
    </row>
    <row r="77" spans="1:7" x14ac:dyDescent="0.2">
      <c r="A77" s="19"/>
      <c r="B77" s="19"/>
      <c r="C77" s="35"/>
      <c r="D77" s="19"/>
      <c r="E77" s="19" t="str">
        <f>Inputs!E18</f>
        <v>South West Water</v>
      </c>
      <c r="F77" s="36">
        <f t="shared" si="11"/>
        <v>0</v>
      </c>
      <c r="G77" s="19" t="s">
        <v>292</v>
      </c>
    </row>
    <row r="78" spans="1:7" x14ac:dyDescent="0.2">
      <c r="A78" s="19"/>
      <c r="B78" s="19"/>
      <c r="C78" s="35"/>
      <c r="D78" s="19"/>
      <c r="E78" s="19" t="str">
        <f>Inputs!E19</f>
        <v>Southern Water</v>
      </c>
      <c r="F78" s="36">
        <f t="shared" si="11"/>
        <v>0</v>
      </c>
      <c r="G78" s="19" t="s">
        <v>292</v>
      </c>
    </row>
    <row r="79" spans="1:7" x14ac:dyDescent="0.2">
      <c r="A79" s="19"/>
      <c r="B79" s="19"/>
      <c r="C79" s="35"/>
      <c r="D79" s="19"/>
      <c r="E79" s="19" t="str">
        <f>Inputs!E20</f>
        <v>Thames Water</v>
      </c>
      <c r="F79" s="36">
        <f t="shared" si="11"/>
        <v>0</v>
      </c>
      <c r="G79" s="19" t="s">
        <v>292</v>
      </c>
    </row>
    <row r="80" spans="1:7" x14ac:dyDescent="0.2">
      <c r="A80" s="19"/>
      <c r="B80" s="19"/>
      <c r="C80" s="35"/>
      <c r="D80" s="19"/>
      <c r="E80" s="19" t="str">
        <f>Inputs!E21</f>
        <v>United Utilities</v>
      </c>
      <c r="F80" s="36">
        <f t="shared" si="11"/>
        <v>0</v>
      </c>
      <c r="G80" s="19" t="s">
        <v>292</v>
      </c>
    </row>
    <row r="81" spans="1:7" x14ac:dyDescent="0.2">
      <c r="A81" s="19"/>
      <c r="B81" s="19"/>
      <c r="C81" s="35"/>
      <c r="D81" s="19"/>
      <c r="E81" s="19" t="str">
        <f>Inputs!E22</f>
        <v>Wessex Water</v>
      </c>
      <c r="F81" s="36">
        <f t="shared" si="11"/>
        <v>0</v>
      </c>
      <c r="G81" s="19" t="s">
        <v>292</v>
      </c>
    </row>
    <row r="82" spans="1:7" x14ac:dyDescent="0.2">
      <c r="A82" s="19"/>
      <c r="B82" s="19"/>
      <c r="C82" s="35"/>
      <c r="D82" s="19"/>
      <c r="E82" s="19" t="str">
        <f>Inputs!E23</f>
        <v>Yorkshire Water</v>
      </c>
      <c r="F82" s="36">
        <f t="shared" si="11"/>
        <v>0</v>
      </c>
      <c r="G82" s="19" t="s">
        <v>292</v>
      </c>
    </row>
    <row r="84" spans="1:7" s="3" customFormat="1" ht="13.5" x14ac:dyDescent="0.25">
      <c r="A84" s="3" t="s">
        <v>43</v>
      </c>
    </row>
  </sheetData>
  <pageMargins left="0.70866141732283472" right="0.70866141732283472" top="0.74803149606299213" bottom="0.74803149606299213" header="0.31496062992125984" footer="0.31496062992125984"/>
  <pageSetup paperSize="8" scale="64" fitToHeight="0" orientation="landscape" r:id="rId1"/>
  <headerFooter>
    <oddHeader>&amp;L&amp;F&amp;CSheet: &amp;A&amp;ROFFICIAL</oddHeader>
    <oddFooter>&amp;LPrinted on &amp;D at &amp;T&amp;CPage &amp;P of &amp;N&amp;ROfwat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B1BD-E398-4BF4-9B4D-1B432479055E}">
  <sheetPr>
    <tabColor theme="3" tint="0.79998168889431442"/>
    <pageSetUpPr fitToPage="1"/>
  </sheetPr>
  <dimension ref="A1:I62"/>
  <sheetViews>
    <sheetView zoomScale="80" zoomScaleNormal="80" zoomScaleSheetLayoutView="100" workbookViewId="0"/>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2" width="9.140625" style="4" customWidth="1"/>
    <col min="23" max="23" width="2.7109375" style="4" customWidth="1"/>
    <col min="24" max="16384" width="9.140625" style="4"/>
  </cols>
  <sheetData>
    <row r="1" spans="1:9" s="1" customFormat="1" ht="30" x14ac:dyDescent="0.4">
      <c r="A1" s="1" t="str">
        <f ca="1" xml:space="preserve"> RIGHT(CELL("filename", $A$1), LEN(CELL("filename", $A$1)) - SEARCH("]", CELL("filename", $A$1)))</f>
        <v>Outputs</v>
      </c>
      <c r="F1" s="1" t="str">
        <f xml:space="preserve"> Inputs!$F$1</f>
        <v>2023-24</v>
      </c>
    </row>
    <row r="2" spans="1:9" x14ac:dyDescent="0.2">
      <c r="F2" s="30" t="s">
        <v>189</v>
      </c>
      <c r="G2" s="30" t="s">
        <v>151</v>
      </c>
      <c r="H2" s="30" t="s">
        <v>190</v>
      </c>
      <c r="I2" s="8"/>
    </row>
    <row r="3" spans="1:9" s="2" customFormat="1" ht="13.5" x14ac:dyDescent="0.25">
      <c r="A3" s="2" t="s">
        <v>295</v>
      </c>
    </row>
    <row r="4" spans="1:9" x14ac:dyDescent="0.2">
      <c r="C4" s="6"/>
    </row>
    <row r="5" spans="1:9" x14ac:dyDescent="0.2">
      <c r="B5" s="8" t="s">
        <v>293</v>
      </c>
      <c r="C5" s="6"/>
    </row>
    <row r="6" spans="1:9" x14ac:dyDescent="0.2">
      <c r="C6" s="6"/>
      <c r="E6" s="78" t="str">
        <f>'Performance payments'!E28</f>
        <v>Affinity Water</v>
      </c>
      <c r="F6" s="79">
        <f>'Performance payments'!F28</f>
        <v>-0.95103695662407417</v>
      </c>
      <c r="G6" s="78" t="str">
        <f>'Performance payments'!G28</f>
        <v>£m (2017-18 FYA CPIH prices)</v>
      </c>
    </row>
    <row r="7" spans="1:9" x14ac:dyDescent="0.2">
      <c r="C7" s="6"/>
      <c r="E7" s="78" t="str">
        <f>'Performance payments'!E29</f>
        <v>Anglian Water</v>
      </c>
      <c r="F7" s="79">
        <f>'Performance payments'!F29</f>
        <v>2.1945672285208624</v>
      </c>
      <c r="G7" s="78" t="str">
        <f>'Performance payments'!G29</f>
        <v>£m (2017-18 FYA CPIH prices)</v>
      </c>
    </row>
    <row r="8" spans="1:9" x14ac:dyDescent="0.2">
      <c r="C8" s="6"/>
      <c r="E8" s="78" t="str">
        <f>'Performance payments'!E30</f>
        <v>Bristol Water</v>
      </c>
      <c r="F8" s="79">
        <f>'Performance payments'!F30</f>
        <v>0.31996653267414166</v>
      </c>
      <c r="G8" s="78" t="str">
        <f>'Performance payments'!G30</f>
        <v>£m (2017-18 FYA CPIH prices)</v>
      </c>
    </row>
    <row r="9" spans="1:9" x14ac:dyDescent="0.2">
      <c r="C9" s="6"/>
      <c r="E9" s="78" t="str">
        <f>'Performance payments'!E31</f>
        <v>Dŵr Cymru</v>
      </c>
      <c r="F9" s="79">
        <f>'Performance payments'!F31</f>
        <v>2.0597608330440735</v>
      </c>
      <c r="G9" s="78" t="str">
        <f>'Performance payments'!G31</f>
        <v>£m (2017-18 FYA CPIH prices)</v>
      </c>
    </row>
    <row r="10" spans="1:9" x14ac:dyDescent="0.2">
      <c r="C10" s="6"/>
      <c r="E10" s="78" t="str">
        <f>'Performance payments'!E32</f>
        <v>Hafren Dyfrdwy</v>
      </c>
      <c r="F10" s="79">
        <f>'Performance payments'!F32</f>
        <v>7.2728294191008958E-2</v>
      </c>
      <c r="G10" s="78" t="str">
        <f>'Performance payments'!G32</f>
        <v>£m (2017-18 FYA CPIH prices)</v>
      </c>
    </row>
    <row r="11" spans="1:9" x14ac:dyDescent="0.2">
      <c r="C11" s="6"/>
      <c r="E11" s="78" t="str">
        <f>'Performance payments'!E33</f>
        <v>Northumbrian Water</v>
      </c>
      <c r="F11" s="79">
        <f>'Performance payments'!F33</f>
        <v>3.1928126433705479</v>
      </c>
      <c r="G11" s="78" t="str">
        <f>'Performance payments'!G33</f>
        <v>£m (2017-18 FYA CPIH prices)</v>
      </c>
    </row>
    <row r="12" spans="1:9" x14ac:dyDescent="0.2">
      <c r="C12" s="6"/>
      <c r="E12" s="78" t="str">
        <f>'Performance payments'!E34</f>
        <v>Portsmouth Water</v>
      </c>
      <c r="F12" s="79">
        <f>'Performance payments'!F34</f>
        <v>0.13709495893827348</v>
      </c>
      <c r="G12" s="78" t="str">
        <f>'Performance payments'!G34</f>
        <v>£m (2017-18 FYA CPIH prices)</v>
      </c>
    </row>
    <row r="13" spans="1:9" x14ac:dyDescent="0.2">
      <c r="C13" s="6"/>
      <c r="E13" s="78" t="str">
        <f>'Performance payments'!E35</f>
        <v>SES Water</v>
      </c>
      <c r="F13" s="79">
        <f>'Performance payments'!F35</f>
        <v>-0.19079407159770848</v>
      </c>
      <c r="G13" s="78" t="str">
        <f>'Performance payments'!G35</f>
        <v>£m (2017-18 FYA CPIH prices)</v>
      </c>
    </row>
    <row r="14" spans="1:9" x14ac:dyDescent="0.2">
      <c r="C14" s="6"/>
      <c r="E14" s="78" t="str">
        <f>'Performance payments'!E36</f>
        <v>Severn Trent Water</v>
      </c>
      <c r="F14" s="79">
        <f>'Performance payments'!F36</f>
        <v>-0.25301993128123001</v>
      </c>
      <c r="G14" s="78" t="str">
        <f>'Performance payments'!G36</f>
        <v>£m (2017-18 FYA CPIH prices)</v>
      </c>
    </row>
    <row r="15" spans="1:9" x14ac:dyDescent="0.2">
      <c r="C15" s="6"/>
      <c r="E15" s="78" t="str">
        <f>'Performance payments'!E37</f>
        <v>South East Water</v>
      </c>
      <c r="F15" s="79">
        <f>'Performance payments'!F37</f>
        <v>-0.40487669891524303</v>
      </c>
      <c r="G15" s="78" t="str">
        <f>'Performance payments'!G37</f>
        <v>£m (2017-18 FYA CPIH prices)</v>
      </c>
    </row>
    <row r="16" spans="1:9" x14ac:dyDescent="0.2">
      <c r="C16" s="6"/>
      <c r="E16" s="78" t="str">
        <f>'Performance payments'!E38</f>
        <v>South Staffs Water</v>
      </c>
      <c r="F16" s="79">
        <f>'Performance payments'!F38</f>
        <v>0</v>
      </c>
      <c r="G16" s="78" t="str">
        <f>'Performance payments'!G38</f>
        <v>£m (2017-18 FYA CPIH prices)</v>
      </c>
    </row>
    <row r="17" spans="2:7" x14ac:dyDescent="0.2">
      <c r="C17" s="6"/>
      <c r="E17" s="78" t="str">
        <f>'Performance payments'!E39</f>
        <v>South West Water</v>
      </c>
      <c r="F17" s="79">
        <f>'Performance payments'!F39</f>
        <v>-1.1471642875621852</v>
      </c>
      <c r="G17" s="78" t="str">
        <f>'Performance payments'!G39</f>
        <v>£m (2017-18 FYA CPIH prices)</v>
      </c>
    </row>
    <row r="18" spans="2:7" x14ac:dyDescent="0.2">
      <c r="C18" s="6"/>
      <c r="E18" s="78" t="str">
        <f>'Performance payments'!E40</f>
        <v>Southern Water</v>
      </c>
      <c r="F18" s="79">
        <f>'Performance payments'!F40</f>
        <v>-3.4270145659427027</v>
      </c>
      <c r="G18" s="78" t="str">
        <f>'Performance payments'!G40</f>
        <v>£m (2017-18 FYA CPIH prices)</v>
      </c>
    </row>
    <row r="19" spans="2:7" x14ac:dyDescent="0.2">
      <c r="C19" s="6"/>
      <c r="E19" s="78" t="str">
        <f>'Performance payments'!E41</f>
        <v>Thames Water</v>
      </c>
      <c r="F19" s="79">
        <f>'Performance payments'!F41</f>
        <v>-12.211073531928083</v>
      </c>
      <c r="G19" s="78" t="str">
        <f>'Performance payments'!G41</f>
        <v>£m (2017-18 FYA CPIH prices)</v>
      </c>
    </row>
    <row r="20" spans="2:7" x14ac:dyDescent="0.2">
      <c r="C20" s="6"/>
      <c r="E20" s="78" t="str">
        <f>'Performance payments'!E42</f>
        <v>United Utilities</v>
      </c>
      <c r="F20" s="79">
        <f>'Performance payments'!F42</f>
        <v>1.8001478932249191</v>
      </c>
      <c r="G20" s="78" t="str">
        <f>'Performance payments'!G42</f>
        <v>£m (2017-18 FYA CPIH prices)</v>
      </c>
    </row>
    <row r="21" spans="2:7" x14ac:dyDescent="0.2">
      <c r="C21" s="6"/>
      <c r="E21" s="78" t="str">
        <f>'Performance payments'!E43</f>
        <v>Wessex Water</v>
      </c>
      <c r="F21" s="79">
        <f>'Performance payments'!F43</f>
        <v>1.4321095337151488</v>
      </c>
      <c r="G21" s="78" t="str">
        <f>'Performance payments'!G43</f>
        <v>£m (2017-18 FYA CPIH prices)</v>
      </c>
    </row>
    <row r="22" spans="2:7" x14ac:dyDescent="0.2">
      <c r="C22" s="6"/>
      <c r="E22" s="78" t="str">
        <f>'Performance payments'!E44</f>
        <v>Yorkshire Water</v>
      </c>
      <c r="F22" s="79">
        <f>'Performance payments'!F44</f>
        <v>-0.14428798683293881</v>
      </c>
      <c r="G22" s="78" t="str">
        <f>'Performance payments'!G44</f>
        <v>£m (2017-18 FYA CPIH prices)</v>
      </c>
    </row>
    <row r="23" spans="2:7" x14ac:dyDescent="0.2">
      <c r="C23" s="6"/>
    </row>
    <row r="24" spans="2:7" x14ac:dyDescent="0.2">
      <c r="B24" s="8" t="s">
        <v>245</v>
      </c>
      <c r="C24" s="6"/>
    </row>
    <row r="25" spans="2:7" x14ac:dyDescent="0.2">
      <c r="C25" s="6"/>
      <c r="E25" s="78" t="str">
        <f>'Performance payments'!E47</f>
        <v>Affinity Water</v>
      </c>
      <c r="F25" s="79">
        <f>'Performance payments'!F47</f>
        <v>-0.95103695662407417</v>
      </c>
      <c r="G25" s="78" t="str">
        <f>'Performance payments'!G47</f>
        <v>£m (2017-18 FYA CPIH prices)</v>
      </c>
    </row>
    <row r="26" spans="2:7" x14ac:dyDescent="0.2">
      <c r="C26" s="6"/>
      <c r="E26" s="78" t="str">
        <f>'Performance payments'!E48</f>
        <v>Anglian Water</v>
      </c>
      <c r="F26" s="79">
        <f>'Performance payments'!F48</f>
        <v>2.1945672285208624</v>
      </c>
      <c r="G26" s="78" t="str">
        <f>'Performance payments'!G48</f>
        <v>£m (2017-18 FYA CPIH prices)</v>
      </c>
    </row>
    <row r="27" spans="2:7" x14ac:dyDescent="0.2">
      <c r="C27" s="6"/>
      <c r="E27" s="78" t="str">
        <f>'Performance payments'!E49</f>
        <v>Bristol Water</v>
      </c>
      <c r="F27" s="79">
        <f>'Performance payments'!F49</f>
        <v>0.31996653267414166</v>
      </c>
      <c r="G27" s="78" t="str">
        <f>'Performance payments'!G49</f>
        <v>£m (2017-18 FYA CPIH prices)</v>
      </c>
    </row>
    <row r="28" spans="2:7" x14ac:dyDescent="0.2">
      <c r="C28" s="6"/>
      <c r="E28" s="78" t="str">
        <f>'Performance payments'!E50</f>
        <v>Dŵr Cymru</v>
      </c>
      <c r="F28" s="79">
        <f>'Performance payments'!F50</f>
        <v>2.0597608330440735</v>
      </c>
      <c r="G28" s="78" t="str">
        <f>'Performance payments'!G50</f>
        <v>£m (2017-18 FYA CPIH prices)</v>
      </c>
    </row>
    <row r="29" spans="2:7" x14ac:dyDescent="0.2">
      <c r="C29" s="6"/>
      <c r="E29" s="78" t="str">
        <f>'Performance payments'!E51</f>
        <v>Hafren Dyfrdwy</v>
      </c>
      <c r="F29" s="79">
        <f>'Performance payments'!F51</f>
        <v>7.2728294191008958E-2</v>
      </c>
      <c r="G29" s="78" t="str">
        <f>'Performance payments'!G51</f>
        <v>£m (2017-18 FYA CPIH prices)</v>
      </c>
    </row>
    <row r="30" spans="2:7" x14ac:dyDescent="0.2">
      <c r="C30" s="6"/>
      <c r="E30" s="78" t="str">
        <f>'Performance payments'!E52</f>
        <v>Northumbrian Water</v>
      </c>
      <c r="F30" s="79">
        <f>'Performance payments'!F52</f>
        <v>3.1928126433705479</v>
      </c>
      <c r="G30" s="78" t="str">
        <f>'Performance payments'!G52</f>
        <v>£m (2017-18 FYA CPIH prices)</v>
      </c>
    </row>
    <row r="31" spans="2:7" x14ac:dyDescent="0.2">
      <c r="C31" s="6"/>
      <c r="E31" s="78" t="str">
        <f>'Performance payments'!E53</f>
        <v>Portsmouth Water</v>
      </c>
      <c r="F31" s="79">
        <f>'Performance payments'!F53</f>
        <v>0.13709495893827348</v>
      </c>
      <c r="G31" s="78" t="str">
        <f>'Performance payments'!G53</f>
        <v>£m (2017-18 FYA CPIH prices)</v>
      </c>
    </row>
    <row r="32" spans="2:7" x14ac:dyDescent="0.2">
      <c r="C32" s="6"/>
      <c r="E32" s="78" t="str">
        <f>'Performance payments'!E54</f>
        <v>SES Water</v>
      </c>
      <c r="F32" s="79">
        <f>'Performance payments'!F54</f>
        <v>-0.19079407159770848</v>
      </c>
      <c r="G32" s="78" t="str">
        <f>'Performance payments'!G54</f>
        <v>£m (2017-18 FYA CPIH prices)</v>
      </c>
    </row>
    <row r="33" spans="2:7" x14ac:dyDescent="0.2">
      <c r="C33" s="6"/>
      <c r="E33" s="78" t="str">
        <f>'Performance payments'!E55</f>
        <v>Severn Trent Water</v>
      </c>
      <c r="F33" s="79">
        <f>'Performance payments'!F55</f>
        <v>-0.25301993128123001</v>
      </c>
      <c r="G33" s="78" t="str">
        <f>'Performance payments'!G55</f>
        <v>£m (2017-18 FYA CPIH prices)</v>
      </c>
    </row>
    <row r="34" spans="2:7" x14ac:dyDescent="0.2">
      <c r="C34" s="6"/>
      <c r="E34" s="78" t="str">
        <f>'Performance payments'!E56</f>
        <v>South East Water</v>
      </c>
      <c r="F34" s="79">
        <f>'Performance payments'!F56</f>
        <v>-0.40487669891524303</v>
      </c>
      <c r="G34" s="78" t="str">
        <f>'Performance payments'!G56</f>
        <v>£m (2017-18 FYA CPIH prices)</v>
      </c>
    </row>
    <row r="35" spans="2:7" x14ac:dyDescent="0.2">
      <c r="C35" s="6"/>
      <c r="E35" s="78" t="str">
        <f>'Performance payments'!E57</f>
        <v>South Staffs Water</v>
      </c>
      <c r="F35" s="79">
        <f>'Performance payments'!F57</f>
        <v>0</v>
      </c>
      <c r="G35" s="78" t="str">
        <f>'Performance payments'!G57</f>
        <v>£m (2017-18 FYA CPIH prices)</v>
      </c>
    </row>
    <row r="36" spans="2:7" x14ac:dyDescent="0.2">
      <c r="C36" s="6"/>
      <c r="E36" s="78" t="str">
        <f>'Performance payments'!E58</f>
        <v>South West Water</v>
      </c>
      <c r="F36" s="79">
        <f>'Performance payments'!F58</f>
        <v>-1.1471642875621852</v>
      </c>
      <c r="G36" s="78" t="str">
        <f>'Performance payments'!G58</f>
        <v>£m (2017-18 FYA CPIH prices)</v>
      </c>
    </row>
    <row r="37" spans="2:7" x14ac:dyDescent="0.2">
      <c r="C37" s="6"/>
      <c r="E37" s="78" t="str">
        <f>'Performance payments'!E59</f>
        <v>Southern Water</v>
      </c>
      <c r="F37" s="79">
        <f>'Performance payments'!F59</f>
        <v>-3.4270145659427027</v>
      </c>
      <c r="G37" s="78" t="str">
        <f>'Performance payments'!G59</f>
        <v>£m (2017-18 FYA CPIH prices)</v>
      </c>
    </row>
    <row r="38" spans="2:7" x14ac:dyDescent="0.2">
      <c r="C38" s="6"/>
      <c r="E38" s="78" t="str">
        <f>'Performance payments'!E60</f>
        <v>Thames Water</v>
      </c>
      <c r="F38" s="79">
        <f>'Performance payments'!F60</f>
        <v>-12.211073531928083</v>
      </c>
      <c r="G38" s="78" t="str">
        <f>'Performance payments'!G60</f>
        <v>£m (2017-18 FYA CPIH prices)</v>
      </c>
    </row>
    <row r="39" spans="2:7" x14ac:dyDescent="0.2">
      <c r="C39" s="6"/>
      <c r="E39" s="78" t="str">
        <f>'Performance payments'!E61</f>
        <v>United Utilities</v>
      </c>
      <c r="F39" s="79">
        <f>'Performance payments'!F61</f>
        <v>1.8001478932249191</v>
      </c>
      <c r="G39" s="78" t="str">
        <f>'Performance payments'!G61</f>
        <v>£m (2017-18 FYA CPIH prices)</v>
      </c>
    </row>
    <row r="40" spans="2:7" x14ac:dyDescent="0.2">
      <c r="C40" s="6"/>
      <c r="E40" s="78" t="str">
        <f>'Performance payments'!E62</f>
        <v>Wessex Water</v>
      </c>
      <c r="F40" s="79">
        <f>'Performance payments'!F62</f>
        <v>1.4321095337151488</v>
      </c>
      <c r="G40" s="78" t="str">
        <f>'Performance payments'!G62</f>
        <v>£m (2017-18 FYA CPIH prices)</v>
      </c>
    </row>
    <row r="41" spans="2:7" x14ac:dyDescent="0.2">
      <c r="C41" s="6"/>
      <c r="E41" s="78" t="str">
        <f>'Performance payments'!E63</f>
        <v>Yorkshire Water</v>
      </c>
      <c r="F41" s="79">
        <f>'Performance payments'!F63</f>
        <v>-0.14428798683293881</v>
      </c>
      <c r="G41" s="78" t="str">
        <f>'Performance payments'!G63</f>
        <v>£m (2017-18 FYA CPIH prices)</v>
      </c>
    </row>
    <row r="43" spans="2:7" x14ac:dyDescent="0.2">
      <c r="B43" s="8" t="s">
        <v>217</v>
      </c>
      <c r="C43" s="6"/>
    </row>
    <row r="44" spans="2:7" x14ac:dyDescent="0.2">
      <c r="C44" s="6"/>
      <c r="E44" s="78" t="str">
        <f>'Performance payments'!E66</f>
        <v>Affinity Water</v>
      </c>
      <c r="F44" s="79">
        <f>'Performance payments'!F66</f>
        <v>0</v>
      </c>
      <c r="G44" s="78" t="str">
        <f>'Performance payments'!G66</f>
        <v>£m (2017-18 FYA CPIH prices)</v>
      </c>
    </row>
    <row r="45" spans="2:7" x14ac:dyDescent="0.2">
      <c r="C45" s="6"/>
      <c r="E45" s="78" t="str">
        <f>'Performance payments'!E67</f>
        <v>Anglian Water</v>
      </c>
      <c r="F45" s="79">
        <f>'Performance payments'!F67</f>
        <v>0</v>
      </c>
      <c r="G45" s="78" t="str">
        <f>'Performance payments'!G67</f>
        <v>£m (2017-18 FYA CPIH prices)</v>
      </c>
    </row>
    <row r="46" spans="2:7" x14ac:dyDescent="0.2">
      <c r="C46" s="6"/>
      <c r="E46" s="78" t="str">
        <f>'Performance payments'!E68</f>
        <v>Bristol Water</v>
      </c>
      <c r="F46" s="79">
        <f>'Performance payments'!F68</f>
        <v>0</v>
      </c>
      <c r="G46" s="78" t="str">
        <f>'Performance payments'!G68</f>
        <v>£m (2017-18 FYA CPIH prices)</v>
      </c>
    </row>
    <row r="47" spans="2:7" x14ac:dyDescent="0.2">
      <c r="C47" s="6"/>
      <c r="E47" s="78" t="str">
        <f>'Performance payments'!E69</f>
        <v>Dŵr Cymru</v>
      </c>
      <c r="F47" s="79">
        <f>'Performance payments'!F69</f>
        <v>0</v>
      </c>
      <c r="G47" s="78" t="str">
        <f>'Performance payments'!G69</f>
        <v>£m (2017-18 FYA CPIH prices)</v>
      </c>
    </row>
    <row r="48" spans="2:7" x14ac:dyDescent="0.2">
      <c r="C48" s="6"/>
      <c r="E48" s="78" t="str">
        <f>'Performance payments'!E70</f>
        <v>Hafren Dyfrdwy</v>
      </c>
      <c r="F48" s="79">
        <f>'Performance payments'!F70</f>
        <v>0</v>
      </c>
      <c r="G48" s="78" t="str">
        <f>'Performance payments'!G70</f>
        <v>£m (2017-18 FYA CPIH prices)</v>
      </c>
    </row>
    <row r="49" spans="1:7" x14ac:dyDescent="0.2">
      <c r="C49" s="6"/>
      <c r="E49" s="78" t="str">
        <f>'Performance payments'!E71</f>
        <v>Northumbrian Water</v>
      </c>
      <c r="F49" s="79">
        <f>'Performance payments'!F71</f>
        <v>0</v>
      </c>
      <c r="G49" s="78" t="str">
        <f>'Performance payments'!G71</f>
        <v>£m (2017-18 FYA CPIH prices)</v>
      </c>
    </row>
    <row r="50" spans="1:7" x14ac:dyDescent="0.2">
      <c r="C50" s="6"/>
      <c r="E50" s="78" t="str">
        <f>'Performance payments'!E72</f>
        <v>Portsmouth Water</v>
      </c>
      <c r="F50" s="79">
        <f>'Performance payments'!F72</f>
        <v>0</v>
      </c>
      <c r="G50" s="78" t="str">
        <f>'Performance payments'!G72</f>
        <v>£m (2017-18 FYA CPIH prices)</v>
      </c>
    </row>
    <row r="51" spans="1:7" x14ac:dyDescent="0.2">
      <c r="C51" s="6"/>
      <c r="E51" s="78" t="str">
        <f>'Performance payments'!E73</f>
        <v>SES Water</v>
      </c>
      <c r="F51" s="79">
        <f>'Performance payments'!F73</f>
        <v>0</v>
      </c>
      <c r="G51" s="78" t="str">
        <f>'Performance payments'!G73</f>
        <v>£m (2017-18 FYA CPIH prices)</v>
      </c>
    </row>
    <row r="52" spans="1:7" x14ac:dyDescent="0.2">
      <c r="C52" s="6"/>
      <c r="E52" s="78" t="str">
        <f>'Performance payments'!E74</f>
        <v>Severn Trent Water</v>
      </c>
      <c r="F52" s="79">
        <f>'Performance payments'!F74</f>
        <v>0</v>
      </c>
      <c r="G52" s="78" t="str">
        <f>'Performance payments'!G74</f>
        <v>£m (2017-18 FYA CPIH prices)</v>
      </c>
    </row>
    <row r="53" spans="1:7" x14ac:dyDescent="0.2">
      <c r="C53" s="6"/>
      <c r="E53" s="78" t="str">
        <f>'Performance payments'!E75</f>
        <v>South East Water</v>
      </c>
      <c r="F53" s="79">
        <f>'Performance payments'!F75</f>
        <v>0</v>
      </c>
      <c r="G53" s="78" t="str">
        <f>'Performance payments'!G75</f>
        <v>£m (2017-18 FYA CPIH prices)</v>
      </c>
    </row>
    <row r="54" spans="1:7" x14ac:dyDescent="0.2">
      <c r="C54" s="6"/>
      <c r="E54" s="78" t="str">
        <f>'Performance payments'!E76</f>
        <v>South Staffs Water</v>
      </c>
      <c r="F54" s="79">
        <f>'Performance payments'!F76</f>
        <v>0</v>
      </c>
      <c r="G54" s="78" t="str">
        <f>'Performance payments'!G76</f>
        <v>£m (2017-18 FYA CPIH prices)</v>
      </c>
    </row>
    <row r="55" spans="1:7" x14ac:dyDescent="0.2">
      <c r="C55" s="6"/>
      <c r="E55" s="78" t="str">
        <f>'Performance payments'!E77</f>
        <v>South West Water</v>
      </c>
      <c r="F55" s="79">
        <f>'Performance payments'!F77</f>
        <v>0</v>
      </c>
      <c r="G55" s="78" t="str">
        <f>'Performance payments'!G77</f>
        <v>£m (2017-18 FYA CPIH prices)</v>
      </c>
    </row>
    <row r="56" spans="1:7" x14ac:dyDescent="0.2">
      <c r="C56" s="6"/>
      <c r="E56" s="78" t="str">
        <f>'Performance payments'!E78</f>
        <v>Southern Water</v>
      </c>
      <c r="F56" s="79">
        <f>'Performance payments'!F78</f>
        <v>0</v>
      </c>
      <c r="G56" s="78" t="str">
        <f>'Performance payments'!G78</f>
        <v>£m (2017-18 FYA CPIH prices)</v>
      </c>
    </row>
    <row r="57" spans="1:7" x14ac:dyDescent="0.2">
      <c r="C57" s="6"/>
      <c r="E57" s="78" t="str">
        <f>'Performance payments'!E79</f>
        <v>Thames Water</v>
      </c>
      <c r="F57" s="79">
        <f>'Performance payments'!F79</f>
        <v>0</v>
      </c>
      <c r="G57" s="78" t="str">
        <f>'Performance payments'!G79</f>
        <v>£m (2017-18 FYA CPIH prices)</v>
      </c>
    </row>
    <row r="58" spans="1:7" x14ac:dyDescent="0.2">
      <c r="C58" s="6"/>
      <c r="E58" s="78" t="str">
        <f>'Performance payments'!E80</f>
        <v>United Utilities</v>
      </c>
      <c r="F58" s="79">
        <f>'Performance payments'!F80</f>
        <v>0</v>
      </c>
      <c r="G58" s="78" t="str">
        <f>'Performance payments'!G80</f>
        <v>£m (2017-18 FYA CPIH prices)</v>
      </c>
    </row>
    <row r="59" spans="1:7" x14ac:dyDescent="0.2">
      <c r="C59" s="6"/>
      <c r="E59" s="78" t="str">
        <f>'Performance payments'!E81</f>
        <v>Wessex Water</v>
      </c>
      <c r="F59" s="79">
        <f>'Performance payments'!F81</f>
        <v>0</v>
      </c>
      <c r="G59" s="78" t="str">
        <f>'Performance payments'!G81</f>
        <v>£m (2017-18 FYA CPIH prices)</v>
      </c>
    </row>
    <row r="60" spans="1:7" x14ac:dyDescent="0.2">
      <c r="C60" s="6"/>
      <c r="E60" s="78" t="str">
        <f>'Performance payments'!E82</f>
        <v>Yorkshire Water</v>
      </c>
      <c r="F60" s="79">
        <f>'Performance payments'!F82</f>
        <v>0</v>
      </c>
      <c r="G60" s="78" t="str">
        <f>'Performance payments'!G82</f>
        <v>£m (2017-18 FYA CPIH prices)</v>
      </c>
    </row>
    <row r="62" spans="1:7" s="3" customFormat="1" ht="13.5" x14ac:dyDescent="0.25">
      <c r="A62" s="3" t="s">
        <v>43</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6231-0F98-4A2C-8C71-3889B5C9CA2E}">
  <sheetPr>
    <tabColor theme="3" tint="0.79998168889431442"/>
    <pageSetUpPr fitToPage="1"/>
  </sheetPr>
  <dimension ref="A1:F88"/>
  <sheetViews>
    <sheetView zoomScale="80" zoomScaleNormal="80" workbookViewId="0"/>
  </sheetViews>
  <sheetFormatPr defaultRowHeight="12.75" x14ac:dyDescent="0.2"/>
  <cols>
    <col min="1" max="1" width="8.42578125" bestFit="1" customWidth="1"/>
    <col min="2" max="2" width="26.28515625" bestFit="1" customWidth="1"/>
    <col min="3" max="3" width="57.140625" bestFit="1" customWidth="1"/>
    <col min="4" max="4" width="4.28515625" bestFit="1" customWidth="1"/>
    <col min="5" max="5" width="27" bestFit="1" customWidth="1"/>
    <col min="6" max="6" width="40.42578125" bestFit="1" customWidth="1"/>
  </cols>
  <sheetData>
    <row r="1" spans="1:6" ht="15" x14ac:dyDescent="0.25">
      <c r="C1" s="200" t="s">
        <v>296</v>
      </c>
      <c r="D1" s="201"/>
      <c r="E1" s="200" t="s">
        <v>297</v>
      </c>
    </row>
    <row r="2" spans="1:6" x14ac:dyDescent="0.2">
      <c r="A2" t="s">
        <v>112</v>
      </c>
      <c r="B2" t="s">
        <v>149</v>
      </c>
      <c r="C2" t="s">
        <v>150</v>
      </c>
      <c r="D2" t="s">
        <v>151</v>
      </c>
      <c r="E2" t="s">
        <v>152</v>
      </c>
      <c r="F2" t="str">
        <f xml:space="preserve"> Outputs!$F$1</f>
        <v>2023-24</v>
      </c>
    </row>
    <row r="4" spans="1:6" x14ac:dyDescent="0.2">
      <c r="A4" t="s">
        <v>114</v>
      </c>
      <c r="B4" t="s">
        <v>298</v>
      </c>
      <c r="C4" s="117" t="s">
        <v>299</v>
      </c>
      <c r="D4" t="s">
        <v>176</v>
      </c>
      <c r="E4" t="s">
        <v>300</v>
      </c>
      <c r="F4" s="122">
        <f>Outputs!$F$6</f>
        <v>-0.95103695662407417</v>
      </c>
    </row>
    <row r="5" spans="1:6" ht="15" x14ac:dyDescent="0.25">
      <c r="A5" t="s">
        <v>114</v>
      </c>
      <c r="B5" s="202" t="s">
        <v>301</v>
      </c>
      <c r="C5" s="202" t="s">
        <v>302</v>
      </c>
      <c r="D5" s="202" t="s">
        <v>172</v>
      </c>
      <c r="E5" s="203" t="s">
        <v>300</v>
      </c>
      <c r="F5" s="204" t="str">
        <f ca="1">CONCATENATE("[…]", TEXT(NOW(),"dd/mm/yyy hh:mm:ss"))</f>
        <v>[…]16/07/2025 13:10:00</v>
      </c>
    </row>
    <row r="6" spans="1:6" ht="15" x14ac:dyDescent="0.25">
      <c r="A6" t="s">
        <v>114</v>
      </c>
      <c r="B6" s="202" t="s">
        <v>303</v>
      </c>
      <c r="C6" s="202" t="s">
        <v>304</v>
      </c>
      <c r="D6" s="202" t="s">
        <v>172</v>
      </c>
      <c r="E6" s="203" t="s">
        <v>300</v>
      </c>
      <c r="F6" s="203" t="str">
        <f ca="1">MID(CELL("filename"),SEARCH("[",CELL("filename"))+1,SEARCH("]",CELL("filename"))-SEARCH("[",CELL("filename"))-1)</f>
        <v>PR24-FD-PD02-Customer-measure-of-experience-C-MeX.xlsx</v>
      </c>
    </row>
    <row r="7" spans="1:6" ht="15" x14ac:dyDescent="0.25">
      <c r="A7" t="s">
        <v>114</v>
      </c>
      <c r="B7" s="202" t="s">
        <v>305</v>
      </c>
      <c r="C7" s="202" t="s">
        <v>306</v>
      </c>
      <c r="D7" s="202" t="s">
        <v>172</v>
      </c>
      <c r="E7" s="203" t="s">
        <v>300</v>
      </c>
      <c r="F7" s="203" t="s">
        <v>307</v>
      </c>
    </row>
    <row r="8" spans="1:6" ht="15" x14ac:dyDescent="0.25">
      <c r="A8" t="s">
        <v>114</v>
      </c>
      <c r="B8" s="202" t="s">
        <v>308</v>
      </c>
      <c r="C8" s="202" t="s">
        <v>309</v>
      </c>
      <c r="D8" s="202" t="s">
        <v>310</v>
      </c>
      <c r="E8" s="203" t="s">
        <v>300</v>
      </c>
      <c r="F8" s="203">
        <f>IF(SUM(InpOverride!$F$4:$M$330)&gt;0,1,0)</f>
        <v>1</v>
      </c>
    </row>
    <row r="9" spans="1:6" x14ac:dyDescent="0.2">
      <c r="A9" t="s">
        <v>116</v>
      </c>
      <c r="B9" t="s">
        <v>298</v>
      </c>
      <c r="C9" s="117" t="s">
        <v>299</v>
      </c>
      <c r="D9" t="s">
        <v>176</v>
      </c>
      <c r="E9" t="s">
        <v>300</v>
      </c>
      <c r="F9" s="122">
        <f>Outputs!$F$7</f>
        <v>2.1945672285208624</v>
      </c>
    </row>
    <row r="10" spans="1:6" ht="15" x14ac:dyDescent="0.25">
      <c r="A10" t="s">
        <v>116</v>
      </c>
      <c r="B10" s="202" t="s">
        <v>301</v>
      </c>
      <c r="C10" s="202" t="s">
        <v>302</v>
      </c>
      <c r="D10" s="202" t="s">
        <v>172</v>
      </c>
      <c r="E10" s="203" t="s">
        <v>300</v>
      </c>
      <c r="F10" s="204" t="str">
        <f ca="1">CONCATENATE("[…]", TEXT(NOW(),"dd/mm/yyy hh:mm:ss"))</f>
        <v>[…]16/07/2025 13:10:00</v>
      </c>
    </row>
    <row r="11" spans="1:6" ht="15" x14ac:dyDescent="0.25">
      <c r="A11" t="s">
        <v>116</v>
      </c>
      <c r="B11" s="202" t="s">
        <v>303</v>
      </c>
      <c r="C11" s="202" t="s">
        <v>304</v>
      </c>
      <c r="D11" s="202" t="s">
        <v>172</v>
      </c>
      <c r="E11" s="203" t="s">
        <v>300</v>
      </c>
      <c r="F11" s="203" t="str">
        <f ca="1">MID(CELL("filename"),SEARCH("[",CELL("filename"))+1,SEARCH("]",CELL("filename"))-SEARCH("[",CELL("filename"))-1)</f>
        <v>PR24-FD-PD02-Customer-measure-of-experience-C-MeX.xlsx</v>
      </c>
    </row>
    <row r="12" spans="1:6" ht="15" x14ac:dyDescent="0.25">
      <c r="A12" t="s">
        <v>116</v>
      </c>
      <c r="B12" s="202" t="s">
        <v>305</v>
      </c>
      <c r="C12" s="202" t="s">
        <v>306</v>
      </c>
      <c r="D12" s="202" t="s">
        <v>172</v>
      </c>
      <c r="E12" s="203" t="s">
        <v>300</v>
      </c>
      <c r="F12" s="203" t="s">
        <v>307</v>
      </c>
    </row>
    <row r="13" spans="1:6" ht="15" x14ac:dyDescent="0.25">
      <c r="A13" t="s">
        <v>116</v>
      </c>
      <c r="B13" s="202" t="s">
        <v>308</v>
      </c>
      <c r="C13" s="202" t="s">
        <v>309</v>
      </c>
      <c r="D13" s="202" t="s">
        <v>310</v>
      </c>
      <c r="E13" s="203" t="s">
        <v>300</v>
      </c>
      <c r="F13" s="203">
        <f>IF(SUM(InpOverride!$F$4:$M$330)&gt;0,1,0)</f>
        <v>1</v>
      </c>
    </row>
    <row r="14" spans="1:6" x14ac:dyDescent="0.2">
      <c r="A14" t="s">
        <v>118</v>
      </c>
      <c r="B14" t="s">
        <v>298</v>
      </c>
      <c r="C14" s="117" t="s">
        <v>299</v>
      </c>
      <c r="D14" t="s">
        <v>176</v>
      </c>
      <c r="E14" t="s">
        <v>300</v>
      </c>
      <c r="F14" s="122">
        <f>Outputs!$F$8</f>
        <v>0.31996653267414166</v>
      </c>
    </row>
    <row r="15" spans="1:6" ht="15" x14ac:dyDescent="0.25">
      <c r="A15" t="s">
        <v>118</v>
      </c>
      <c r="B15" s="202" t="s">
        <v>301</v>
      </c>
      <c r="C15" s="202" t="s">
        <v>302</v>
      </c>
      <c r="D15" s="202" t="s">
        <v>172</v>
      </c>
      <c r="E15" s="203" t="s">
        <v>300</v>
      </c>
      <c r="F15" s="204" t="str">
        <f ca="1">CONCATENATE("[…]", TEXT(NOW(),"dd/mm/yyy hh:mm:ss"))</f>
        <v>[…]16/07/2025 13:10:00</v>
      </c>
    </row>
    <row r="16" spans="1:6" ht="15" x14ac:dyDescent="0.25">
      <c r="A16" t="s">
        <v>118</v>
      </c>
      <c r="B16" s="202" t="s">
        <v>303</v>
      </c>
      <c r="C16" s="202" t="s">
        <v>304</v>
      </c>
      <c r="D16" s="202" t="s">
        <v>172</v>
      </c>
      <c r="E16" s="203" t="s">
        <v>300</v>
      </c>
      <c r="F16" s="203" t="str">
        <f ca="1">MID(CELL("filename"),SEARCH("[",CELL("filename"))+1,SEARCH("]",CELL("filename"))-SEARCH("[",CELL("filename"))-1)</f>
        <v>PR24-FD-PD02-Customer-measure-of-experience-C-MeX.xlsx</v>
      </c>
    </row>
    <row r="17" spans="1:6" ht="15" x14ac:dyDescent="0.25">
      <c r="A17" t="s">
        <v>118</v>
      </c>
      <c r="B17" s="202" t="s">
        <v>305</v>
      </c>
      <c r="C17" s="202" t="s">
        <v>306</v>
      </c>
      <c r="D17" s="202" t="s">
        <v>172</v>
      </c>
      <c r="E17" s="203" t="s">
        <v>300</v>
      </c>
      <c r="F17" s="203" t="s">
        <v>307</v>
      </c>
    </row>
    <row r="18" spans="1:6" ht="15" x14ac:dyDescent="0.25">
      <c r="A18" t="s">
        <v>118</v>
      </c>
      <c r="B18" s="202" t="s">
        <v>308</v>
      </c>
      <c r="C18" s="202" t="s">
        <v>309</v>
      </c>
      <c r="D18" s="202" t="s">
        <v>310</v>
      </c>
      <c r="E18" s="203" t="s">
        <v>300</v>
      </c>
      <c r="F18" s="203">
        <f>IF(SUM(InpOverride!$F$4:$M$330)&gt;0,1,0)</f>
        <v>1</v>
      </c>
    </row>
    <row r="19" spans="1:6" x14ac:dyDescent="0.2">
      <c r="A19" t="s">
        <v>120</v>
      </c>
      <c r="B19" t="s">
        <v>298</v>
      </c>
      <c r="C19" s="117" t="s">
        <v>299</v>
      </c>
      <c r="D19" t="s">
        <v>176</v>
      </c>
      <c r="E19" t="s">
        <v>300</v>
      </c>
      <c r="F19" s="122">
        <f>Outputs!$F$9</f>
        <v>2.0597608330440735</v>
      </c>
    </row>
    <row r="20" spans="1:6" ht="15" x14ac:dyDescent="0.25">
      <c r="A20" t="s">
        <v>120</v>
      </c>
      <c r="B20" s="202" t="s">
        <v>301</v>
      </c>
      <c r="C20" s="202" t="s">
        <v>302</v>
      </c>
      <c r="D20" s="202" t="s">
        <v>172</v>
      </c>
      <c r="E20" s="203" t="s">
        <v>300</v>
      </c>
      <c r="F20" s="204" t="str">
        <f ca="1">CONCATENATE("[…]", TEXT(NOW(),"dd/mm/yyy hh:mm:ss"))</f>
        <v>[…]16/07/2025 13:10:00</v>
      </c>
    </row>
    <row r="21" spans="1:6" ht="15" x14ac:dyDescent="0.25">
      <c r="A21" t="s">
        <v>120</v>
      </c>
      <c r="B21" s="202" t="s">
        <v>303</v>
      </c>
      <c r="C21" s="202" t="s">
        <v>304</v>
      </c>
      <c r="D21" s="202" t="s">
        <v>172</v>
      </c>
      <c r="E21" s="203" t="s">
        <v>300</v>
      </c>
      <c r="F21" s="203" t="str">
        <f ca="1">MID(CELL("filename"),SEARCH("[",CELL("filename"))+1,SEARCH("]",CELL("filename"))-SEARCH("[",CELL("filename"))-1)</f>
        <v>PR24-FD-PD02-Customer-measure-of-experience-C-MeX.xlsx</v>
      </c>
    </row>
    <row r="22" spans="1:6" ht="15" x14ac:dyDescent="0.25">
      <c r="A22" t="s">
        <v>120</v>
      </c>
      <c r="B22" s="202" t="s">
        <v>305</v>
      </c>
      <c r="C22" s="202" t="s">
        <v>306</v>
      </c>
      <c r="D22" s="202" t="s">
        <v>172</v>
      </c>
      <c r="E22" s="203" t="s">
        <v>300</v>
      </c>
      <c r="F22" s="203" t="s">
        <v>307</v>
      </c>
    </row>
    <row r="23" spans="1:6" ht="15" x14ac:dyDescent="0.25">
      <c r="A23" t="s">
        <v>120</v>
      </c>
      <c r="B23" s="202" t="s">
        <v>308</v>
      </c>
      <c r="C23" s="202" t="s">
        <v>309</v>
      </c>
      <c r="D23" s="202" t="s">
        <v>310</v>
      </c>
      <c r="E23" s="203" t="s">
        <v>300</v>
      </c>
      <c r="F23" s="203">
        <f>IF(SUM(InpOverride!$F$4:$M$330)&gt;0,1,0)</f>
        <v>1</v>
      </c>
    </row>
    <row r="24" spans="1:6" x14ac:dyDescent="0.2">
      <c r="A24" t="s">
        <v>122</v>
      </c>
      <c r="B24" t="s">
        <v>298</v>
      </c>
      <c r="C24" s="117" t="s">
        <v>299</v>
      </c>
      <c r="D24" t="s">
        <v>176</v>
      </c>
      <c r="E24" t="s">
        <v>300</v>
      </c>
      <c r="F24" s="122">
        <f>Outputs!$F$10</f>
        <v>7.2728294191008958E-2</v>
      </c>
    </row>
    <row r="25" spans="1:6" ht="15" x14ac:dyDescent="0.25">
      <c r="A25" t="s">
        <v>122</v>
      </c>
      <c r="B25" s="202" t="s">
        <v>301</v>
      </c>
      <c r="C25" s="202" t="s">
        <v>302</v>
      </c>
      <c r="D25" s="202" t="s">
        <v>172</v>
      </c>
      <c r="E25" s="203" t="s">
        <v>300</v>
      </c>
      <c r="F25" s="204" t="str">
        <f ca="1">CONCATENATE("[…]", TEXT(NOW(),"dd/mm/yyy hh:mm:ss"))</f>
        <v>[…]16/07/2025 13:10:00</v>
      </c>
    </row>
    <row r="26" spans="1:6" ht="15" x14ac:dyDescent="0.25">
      <c r="A26" t="s">
        <v>122</v>
      </c>
      <c r="B26" s="202" t="s">
        <v>303</v>
      </c>
      <c r="C26" s="202" t="s">
        <v>304</v>
      </c>
      <c r="D26" s="202" t="s">
        <v>172</v>
      </c>
      <c r="E26" s="203" t="s">
        <v>300</v>
      </c>
      <c r="F26" s="203" t="str">
        <f ca="1">MID(CELL("filename"),SEARCH("[",CELL("filename"))+1,SEARCH("]",CELL("filename"))-SEARCH("[",CELL("filename"))-1)</f>
        <v>PR24-FD-PD02-Customer-measure-of-experience-C-MeX.xlsx</v>
      </c>
    </row>
    <row r="27" spans="1:6" ht="15" x14ac:dyDescent="0.25">
      <c r="A27" t="s">
        <v>122</v>
      </c>
      <c r="B27" s="202" t="s">
        <v>305</v>
      </c>
      <c r="C27" s="202" t="s">
        <v>306</v>
      </c>
      <c r="D27" s="202" t="s">
        <v>172</v>
      </c>
      <c r="E27" s="203" t="s">
        <v>300</v>
      </c>
      <c r="F27" s="203" t="s">
        <v>307</v>
      </c>
    </row>
    <row r="28" spans="1:6" ht="15" x14ac:dyDescent="0.25">
      <c r="A28" t="s">
        <v>122</v>
      </c>
      <c r="B28" s="202" t="s">
        <v>308</v>
      </c>
      <c r="C28" s="202" t="s">
        <v>309</v>
      </c>
      <c r="D28" s="202" t="s">
        <v>310</v>
      </c>
      <c r="E28" s="203" t="s">
        <v>300</v>
      </c>
      <c r="F28" s="203">
        <f>IF(SUM(InpOverride!$F$4:$M$330)&gt;0,1,0)</f>
        <v>1</v>
      </c>
    </row>
    <row r="29" spans="1:6" x14ac:dyDescent="0.2">
      <c r="A29" t="s">
        <v>124</v>
      </c>
      <c r="B29" t="s">
        <v>298</v>
      </c>
      <c r="C29" s="117" t="s">
        <v>299</v>
      </c>
      <c r="D29" t="s">
        <v>176</v>
      </c>
      <c r="E29" t="s">
        <v>300</v>
      </c>
      <c r="F29" s="122">
        <f>Outputs!$F$11</f>
        <v>3.1928126433705479</v>
      </c>
    </row>
    <row r="30" spans="1:6" ht="15" x14ac:dyDescent="0.25">
      <c r="A30" t="s">
        <v>124</v>
      </c>
      <c r="B30" s="202" t="s">
        <v>301</v>
      </c>
      <c r="C30" s="202" t="s">
        <v>302</v>
      </c>
      <c r="D30" s="202" t="s">
        <v>172</v>
      </c>
      <c r="E30" s="203" t="s">
        <v>300</v>
      </c>
      <c r="F30" s="204" t="str">
        <f ca="1">CONCATENATE("[…]", TEXT(NOW(),"dd/mm/yyy hh:mm:ss"))</f>
        <v>[…]16/07/2025 13:10:00</v>
      </c>
    </row>
    <row r="31" spans="1:6" ht="15" x14ac:dyDescent="0.25">
      <c r="A31" t="s">
        <v>124</v>
      </c>
      <c r="B31" s="202" t="s">
        <v>303</v>
      </c>
      <c r="C31" s="202" t="s">
        <v>304</v>
      </c>
      <c r="D31" s="202" t="s">
        <v>172</v>
      </c>
      <c r="E31" s="203" t="s">
        <v>300</v>
      </c>
      <c r="F31" s="203" t="str">
        <f ca="1">MID(CELL("filename"),SEARCH("[",CELL("filename"))+1,SEARCH("]",CELL("filename"))-SEARCH("[",CELL("filename"))-1)</f>
        <v>PR24-FD-PD02-Customer-measure-of-experience-C-MeX.xlsx</v>
      </c>
    </row>
    <row r="32" spans="1:6" ht="15" x14ac:dyDescent="0.25">
      <c r="A32" t="s">
        <v>124</v>
      </c>
      <c r="B32" s="202" t="s">
        <v>305</v>
      </c>
      <c r="C32" s="202" t="s">
        <v>306</v>
      </c>
      <c r="D32" s="202" t="s">
        <v>172</v>
      </c>
      <c r="E32" s="203" t="s">
        <v>300</v>
      </c>
      <c r="F32" s="203" t="s">
        <v>307</v>
      </c>
    </row>
    <row r="33" spans="1:6" ht="15" x14ac:dyDescent="0.25">
      <c r="A33" t="s">
        <v>124</v>
      </c>
      <c r="B33" s="202" t="s">
        <v>308</v>
      </c>
      <c r="C33" s="202" t="s">
        <v>309</v>
      </c>
      <c r="D33" s="202" t="s">
        <v>310</v>
      </c>
      <c r="E33" s="203" t="s">
        <v>300</v>
      </c>
      <c r="F33" s="203">
        <f>IF(SUM(InpOverride!$F$4:$M$330)&gt;0,1,0)</f>
        <v>1</v>
      </c>
    </row>
    <row r="34" spans="1:6" x14ac:dyDescent="0.2">
      <c r="A34" t="s">
        <v>126</v>
      </c>
      <c r="B34" t="s">
        <v>298</v>
      </c>
      <c r="C34" s="117" t="s">
        <v>299</v>
      </c>
      <c r="D34" t="s">
        <v>176</v>
      </c>
      <c r="E34" t="s">
        <v>300</v>
      </c>
      <c r="F34" s="122">
        <f>Outputs!$F$12</f>
        <v>0.13709495893827348</v>
      </c>
    </row>
    <row r="35" spans="1:6" ht="15" x14ac:dyDescent="0.25">
      <c r="A35" t="s">
        <v>126</v>
      </c>
      <c r="B35" s="202" t="s">
        <v>301</v>
      </c>
      <c r="C35" s="202" t="s">
        <v>302</v>
      </c>
      <c r="D35" s="202" t="s">
        <v>172</v>
      </c>
      <c r="E35" s="203" t="s">
        <v>300</v>
      </c>
      <c r="F35" s="204" t="str">
        <f ca="1">CONCATENATE("[…]", TEXT(NOW(),"dd/mm/yyy hh:mm:ss"))</f>
        <v>[…]16/07/2025 13:10:00</v>
      </c>
    </row>
    <row r="36" spans="1:6" ht="15" x14ac:dyDescent="0.25">
      <c r="A36" t="s">
        <v>126</v>
      </c>
      <c r="B36" s="202" t="s">
        <v>303</v>
      </c>
      <c r="C36" s="202" t="s">
        <v>304</v>
      </c>
      <c r="D36" s="202" t="s">
        <v>172</v>
      </c>
      <c r="E36" s="203" t="s">
        <v>300</v>
      </c>
      <c r="F36" s="203" t="str">
        <f ca="1">MID(CELL("filename"),SEARCH("[",CELL("filename"))+1,SEARCH("]",CELL("filename"))-SEARCH("[",CELL("filename"))-1)</f>
        <v>PR24-FD-PD02-Customer-measure-of-experience-C-MeX.xlsx</v>
      </c>
    </row>
    <row r="37" spans="1:6" ht="15" x14ac:dyDescent="0.25">
      <c r="A37" t="s">
        <v>126</v>
      </c>
      <c r="B37" s="202" t="s">
        <v>305</v>
      </c>
      <c r="C37" s="202" t="s">
        <v>306</v>
      </c>
      <c r="D37" s="202" t="s">
        <v>172</v>
      </c>
      <c r="E37" s="203" t="s">
        <v>300</v>
      </c>
      <c r="F37" s="203" t="s">
        <v>307</v>
      </c>
    </row>
    <row r="38" spans="1:6" ht="15" x14ac:dyDescent="0.25">
      <c r="A38" t="s">
        <v>126</v>
      </c>
      <c r="B38" s="202" t="s">
        <v>308</v>
      </c>
      <c r="C38" s="202" t="s">
        <v>309</v>
      </c>
      <c r="D38" s="202" t="s">
        <v>310</v>
      </c>
      <c r="E38" s="203" t="s">
        <v>300</v>
      </c>
      <c r="F38" s="203">
        <f>IF(SUM(InpOverride!$F$4:$M$330)&gt;0,1,0)</f>
        <v>1</v>
      </c>
    </row>
    <row r="39" spans="1:6" x14ac:dyDescent="0.2">
      <c r="A39" t="s">
        <v>128</v>
      </c>
      <c r="B39" t="s">
        <v>298</v>
      </c>
      <c r="C39" s="117" t="s">
        <v>299</v>
      </c>
      <c r="D39" t="s">
        <v>176</v>
      </c>
      <c r="E39" t="s">
        <v>300</v>
      </c>
      <c r="F39" s="122">
        <f>Outputs!$F$13</f>
        <v>-0.19079407159770848</v>
      </c>
    </row>
    <row r="40" spans="1:6" ht="15" x14ac:dyDescent="0.25">
      <c r="A40" t="s">
        <v>128</v>
      </c>
      <c r="B40" s="202" t="s">
        <v>301</v>
      </c>
      <c r="C40" s="202" t="s">
        <v>302</v>
      </c>
      <c r="D40" s="202" t="s">
        <v>172</v>
      </c>
      <c r="E40" s="203" t="s">
        <v>300</v>
      </c>
      <c r="F40" s="204" t="str">
        <f ca="1">CONCATENATE("[…]", TEXT(NOW(),"dd/mm/yyy hh:mm:ss"))</f>
        <v>[…]16/07/2025 13:10:00</v>
      </c>
    </row>
    <row r="41" spans="1:6" ht="15" x14ac:dyDescent="0.25">
      <c r="A41" t="s">
        <v>128</v>
      </c>
      <c r="B41" s="202" t="s">
        <v>303</v>
      </c>
      <c r="C41" s="202" t="s">
        <v>304</v>
      </c>
      <c r="D41" s="202" t="s">
        <v>172</v>
      </c>
      <c r="E41" s="203" t="s">
        <v>300</v>
      </c>
      <c r="F41" s="203" t="str">
        <f ca="1">MID(CELL("filename"),SEARCH("[",CELL("filename"))+1,SEARCH("]",CELL("filename"))-SEARCH("[",CELL("filename"))-1)</f>
        <v>PR24-FD-PD02-Customer-measure-of-experience-C-MeX.xlsx</v>
      </c>
    </row>
    <row r="42" spans="1:6" ht="15" x14ac:dyDescent="0.25">
      <c r="A42" t="s">
        <v>128</v>
      </c>
      <c r="B42" s="202" t="s">
        <v>305</v>
      </c>
      <c r="C42" s="202" t="s">
        <v>306</v>
      </c>
      <c r="D42" s="202" t="s">
        <v>172</v>
      </c>
      <c r="E42" s="203" t="s">
        <v>300</v>
      </c>
      <c r="F42" s="203" t="s">
        <v>307</v>
      </c>
    </row>
    <row r="43" spans="1:6" ht="15" x14ac:dyDescent="0.25">
      <c r="A43" t="s">
        <v>128</v>
      </c>
      <c r="B43" s="202" t="s">
        <v>308</v>
      </c>
      <c r="C43" s="202" t="s">
        <v>309</v>
      </c>
      <c r="D43" s="202" t="s">
        <v>310</v>
      </c>
      <c r="E43" s="203" t="s">
        <v>300</v>
      </c>
      <c r="F43" s="203">
        <f>IF(SUM(InpOverride!$F$4:$M$330)&gt;0,1,0)</f>
        <v>1</v>
      </c>
    </row>
    <row r="44" spans="1:6" x14ac:dyDescent="0.2">
      <c r="A44" t="s">
        <v>130</v>
      </c>
      <c r="B44" t="s">
        <v>298</v>
      </c>
      <c r="C44" s="117" t="s">
        <v>299</v>
      </c>
      <c r="D44" t="s">
        <v>176</v>
      </c>
      <c r="E44" t="s">
        <v>300</v>
      </c>
      <c r="F44" s="122">
        <f>Outputs!$F$14</f>
        <v>-0.25301993128123001</v>
      </c>
    </row>
    <row r="45" spans="1:6" ht="15" x14ac:dyDescent="0.25">
      <c r="A45" t="s">
        <v>130</v>
      </c>
      <c r="B45" s="202" t="s">
        <v>301</v>
      </c>
      <c r="C45" s="202" t="s">
        <v>302</v>
      </c>
      <c r="D45" s="202" t="s">
        <v>172</v>
      </c>
      <c r="E45" s="203" t="s">
        <v>300</v>
      </c>
      <c r="F45" s="204" t="str">
        <f ca="1">CONCATENATE("[…]", TEXT(NOW(),"dd/mm/yyy hh:mm:ss"))</f>
        <v>[…]16/07/2025 13:10:00</v>
      </c>
    </row>
    <row r="46" spans="1:6" ht="15" x14ac:dyDescent="0.25">
      <c r="A46" t="s">
        <v>130</v>
      </c>
      <c r="B46" s="202" t="s">
        <v>303</v>
      </c>
      <c r="C46" s="202" t="s">
        <v>304</v>
      </c>
      <c r="D46" s="202" t="s">
        <v>172</v>
      </c>
      <c r="E46" s="203" t="s">
        <v>300</v>
      </c>
      <c r="F46" s="203" t="str">
        <f ca="1">MID(CELL("filename"),SEARCH("[",CELL("filename"))+1,SEARCH("]",CELL("filename"))-SEARCH("[",CELL("filename"))-1)</f>
        <v>PR24-FD-PD02-Customer-measure-of-experience-C-MeX.xlsx</v>
      </c>
    </row>
    <row r="47" spans="1:6" ht="15" x14ac:dyDescent="0.25">
      <c r="A47" t="s">
        <v>130</v>
      </c>
      <c r="B47" s="202" t="s">
        <v>305</v>
      </c>
      <c r="C47" s="202" t="s">
        <v>306</v>
      </c>
      <c r="D47" s="202" t="s">
        <v>172</v>
      </c>
      <c r="E47" s="203" t="s">
        <v>300</v>
      </c>
      <c r="F47" s="203" t="s">
        <v>307</v>
      </c>
    </row>
    <row r="48" spans="1:6" ht="15" x14ac:dyDescent="0.25">
      <c r="A48" t="s">
        <v>130</v>
      </c>
      <c r="B48" s="202" t="s">
        <v>308</v>
      </c>
      <c r="C48" s="202" t="s">
        <v>309</v>
      </c>
      <c r="D48" s="202" t="s">
        <v>310</v>
      </c>
      <c r="E48" s="203" t="s">
        <v>300</v>
      </c>
      <c r="F48" s="203">
        <f>IF(SUM(InpOverride!$F$4:$M$330)&gt;0,1,0)</f>
        <v>1</v>
      </c>
    </row>
    <row r="49" spans="1:6" x14ac:dyDescent="0.2">
      <c r="A49" t="s">
        <v>132</v>
      </c>
      <c r="B49" t="s">
        <v>298</v>
      </c>
      <c r="C49" s="117" t="s">
        <v>299</v>
      </c>
      <c r="D49" t="s">
        <v>176</v>
      </c>
      <c r="E49" t="s">
        <v>300</v>
      </c>
      <c r="F49" s="122">
        <f>Outputs!$F$15</f>
        <v>-0.40487669891524303</v>
      </c>
    </row>
    <row r="50" spans="1:6" ht="15" x14ac:dyDescent="0.25">
      <c r="A50" t="s">
        <v>132</v>
      </c>
      <c r="B50" s="202" t="s">
        <v>301</v>
      </c>
      <c r="C50" s="202" t="s">
        <v>302</v>
      </c>
      <c r="D50" s="202" t="s">
        <v>172</v>
      </c>
      <c r="E50" s="203" t="s">
        <v>300</v>
      </c>
      <c r="F50" s="204" t="str">
        <f ca="1">CONCATENATE("[…]", TEXT(NOW(),"dd/mm/yyy hh:mm:ss"))</f>
        <v>[…]16/07/2025 13:10:00</v>
      </c>
    </row>
    <row r="51" spans="1:6" ht="15" x14ac:dyDescent="0.25">
      <c r="A51" t="s">
        <v>132</v>
      </c>
      <c r="B51" s="202" t="s">
        <v>303</v>
      </c>
      <c r="C51" s="202" t="s">
        <v>304</v>
      </c>
      <c r="D51" s="202" t="s">
        <v>172</v>
      </c>
      <c r="E51" s="203" t="s">
        <v>300</v>
      </c>
      <c r="F51" s="203" t="str">
        <f ca="1">MID(CELL("filename"),SEARCH("[",CELL("filename"))+1,SEARCH("]",CELL("filename"))-SEARCH("[",CELL("filename"))-1)</f>
        <v>PR24-FD-PD02-Customer-measure-of-experience-C-MeX.xlsx</v>
      </c>
    </row>
    <row r="52" spans="1:6" ht="15" x14ac:dyDescent="0.25">
      <c r="A52" t="s">
        <v>132</v>
      </c>
      <c r="B52" s="202" t="s">
        <v>305</v>
      </c>
      <c r="C52" s="202" t="s">
        <v>306</v>
      </c>
      <c r="D52" s="202" t="s">
        <v>172</v>
      </c>
      <c r="E52" s="203" t="s">
        <v>300</v>
      </c>
      <c r="F52" s="203" t="s">
        <v>307</v>
      </c>
    </row>
    <row r="53" spans="1:6" ht="15" x14ac:dyDescent="0.25">
      <c r="A53" t="s">
        <v>132</v>
      </c>
      <c r="B53" s="202" t="s">
        <v>308</v>
      </c>
      <c r="C53" s="202" t="s">
        <v>309</v>
      </c>
      <c r="D53" s="202" t="s">
        <v>310</v>
      </c>
      <c r="E53" s="203" t="s">
        <v>300</v>
      </c>
      <c r="F53" s="203">
        <f>IF(SUM(InpOverride!$F$4:$M$330)&gt;0,1,0)</f>
        <v>1</v>
      </c>
    </row>
    <row r="54" spans="1:6" x14ac:dyDescent="0.2">
      <c r="A54" t="s">
        <v>134</v>
      </c>
      <c r="B54" t="s">
        <v>298</v>
      </c>
      <c r="C54" s="117" t="s">
        <v>299</v>
      </c>
      <c r="D54" t="s">
        <v>176</v>
      </c>
      <c r="E54" t="s">
        <v>300</v>
      </c>
      <c r="F54" s="122">
        <f>Outputs!$F$16</f>
        <v>0</v>
      </c>
    </row>
    <row r="55" spans="1:6" ht="15" x14ac:dyDescent="0.25">
      <c r="A55" t="s">
        <v>134</v>
      </c>
      <c r="B55" s="202" t="s">
        <v>301</v>
      </c>
      <c r="C55" s="202" t="s">
        <v>302</v>
      </c>
      <c r="D55" s="202" t="s">
        <v>172</v>
      </c>
      <c r="E55" s="203" t="s">
        <v>300</v>
      </c>
      <c r="F55" s="204" t="str">
        <f ca="1">CONCATENATE("[…]", TEXT(NOW(),"dd/mm/yyy hh:mm:ss"))</f>
        <v>[…]16/07/2025 13:10:00</v>
      </c>
    </row>
    <row r="56" spans="1:6" ht="15" x14ac:dyDescent="0.25">
      <c r="A56" t="s">
        <v>134</v>
      </c>
      <c r="B56" s="202" t="s">
        <v>303</v>
      </c>
      <c r="C56" s="202" t="s">
        <v>304</v>
      </c>
      <c r="D56" s="202" t="s">
        <v>172</v>
      </c>
      <c r="E56" s="203" t="s">
        <v>300</v>
      </c>
      <c r="F56" s="203" t="str">
        <f ca="1">MID(CELL("filename"),SEARCH("[",CELL("filename"))+1,SEARCH("]",CELL("filename"))-SEARCH("[",CELL("filename"))-1)</f>
        <v>PR24-FD-PD02-Customer-measure-of-experience-C-MeX.xlsx</v>
      </c>
    </row>
    <row r="57" spans="1:6" ht="15" x14ac:dyDescent="0.25">
      <c r="A57" t="s">
        <v>134</v>
      </c>
      <c r="B57" s="202" t="s">
        <v>305</v>
      </c>
      <c r="C57" s="202" t="s">
        <v>306</v>
      </c>
      <c r="D57" s="202" t="s">
        <v>172</v>
      </c>
      <c r="E57" s="203" t="s">
        <v>300</v>
      </c>
      <c r="F57" s="203" t="s">
        <v>307</v>
      </c>
    </row>
    <row r="58" spans="1:6" ht="15" x14ac:dyDescent="0.25">
      <c r="A58" t="s">
        <v>134</v>
      </c>
      <c r="B58" s="202" t="s">
        <v>308</v>
      </c>
      <c r="C58" s="202" t="s">
        <v>309</v>
      </c>
      <c r="D58" s="202" t="s">
        <v>310</v>
      </c>
      <c r="E58" s="203" t="s">
        <v>300</v>
      </c>
      <c r="F58" s="203">
        <f>IF(SUM(InpOverride!$F$4:$M$330)&gt;0,1,0)</f>
        <v>1</v>
      </c>
    </row>
    <row r="59" spans="1:6" x14ac:dyDescent="0.2">
      <c r="A59" t="s">
        <v>136</v>
      </c>
      <c r="B59" t="s">
        <v>298</v>
      </c>
      <c r="C59" s="117" t="s">
        <v>299</v>
      </c>
      <c r="D59" t="s">
        <v>176</v>
      </c>
      <c r="E59" t="s">
        <v>300</v>
      </c>
      <c r="F59" s="122">
        <f>Outputs!$F$17</f>
        <v>-1.1471642875621852</v>
      </c>
    </row>
    <row r="60" spans="1:6" ht="15" x14ac:dyDescent="0.25">
      <c r="A60" t="s">
        <v>136</v>
      </c>
      <c r="B60" s="202" t="s">
        <v>301</v>
      </c>
      <c r="C60" s="202" t="s">
        <v>302</v>
      </c>
      <c r="D60" s="202" t="s">
        <v>172</v>
      </c>
      <c r="E60" s="203" t="s">
        <v>300</v>
      </c>
      <c r="F60" s="204" t="str">
        <f ca="1">CONCATENATE("[…]", TEXT(NOW(),"dd/mm/yyy hh:mm:ss"))</f>
        <v>[…]16/07/2025 13:10:00</v>
      </c>
    </row>
    <row r="61" spans="1:6" ht="15" x14ac:dyDescent="0.25">
      <c r="A61" t="s">
        <v>136</v>
      </c>
      <c r="B61" s="202" t="s">
        <v>303</v>
      </c>
      <c r="C61" s="202" t="s">
        <v>304</v>
      </c>
      <c r="D61" s="202" t="s">
        <v>172</v>
      </c>
      <c r="E61" s="203" t="s">
        <v>300</v>
      </c>
      <c r="F61" s="203" t="str">
        <f ca="1">MID(CELL("filename"),SEARCH("[",CELL("filename"))+1,SEARCH("]",CELL("filename"))-SEARCH("[",CELL("filename"))-1)</f>
        <v>PR24-FD-PD02-Customer-measure-of-experience-C-MeX.xlsx</v>
      </c>
    </row>
    <row r="62" spans="1:6" ht="15" x14ac:dyDescent="0.25">
      <c r="A62" t="s">
        <v>136</v>
      </c>
      <c r="B62" s="202" t="s">
        <v>305</v>
      </c>
      <c r="C62" s="202" t="s">
        <v>306</v>
      </c>
      <c r="D62" s="202" t="s">
        <v>172</v>
      </c>
      <c r="E62" s="203" t="s">
        <v>300</v>
      </c>
      <c r="F62" s="203" t="s">
        <v>307</v>
      </c>
    </row>
    <row r="63" spans="1:6" ht="15" x14ac:dyDescent="0.25">
      <c r="A63" t="s">
        <v>136</v>
      </c>
      <c r="B63" s="202" t="s">
        <v>308</v>
      </c>
      <c r="C63" s="202" t="s">
        <v>309</v>
      </c>
      <c r="D63" s="202" t="s">
        <v>310</v>
      </c>
      <c r="E63" s="203" t="s">
        <v>300</v>
      </c>
      <c r="F63" s="203">
        <f>IF(SUM(InpOverride!$F$4:$M$330)&gt;0,1,0)</f>
        <v>1</v>
      </c>
    </row>
    <row r="64" spans="1:6" x14ac:dyDescent="0.2">
      <c r="A64" t="s">
        <v>138</v>
      </c>
      <c r="B64" t="s">
        <v>298</v>
      </c>
      <c r="C64" s="117" t="s">
        <v>299</v>
      </c>
      <c r="D64" t="s">
        <v>176</v>
      </c>
      <c r="E64" t="s">
        <v>300</v>
      </c>
      <c r="F64" s="122">
        <f>Outputs!$F$18</f>
        <v>-3.4270145659427027</v>
      </c>
    </row>
    <row r="65" spans="1:6" ht="15" x14ac:dyDescent="0.25">
      <c r="A65" t="s">
        <v>138</v>
      </c>
      <c r="B65" s="202" t="s">
        <v>301</v>
      </c>
      <c r="C65" s="202" t="s">
        <v>302</v>
      </c>
      <c r="D65" s="202" t="s">
        <v>172</v>
      </c>
      <c r="E65" s="203" t="s">
        <v>300</v>
      </c>
      <c r="F65" s="204" t="str">
        <f ca="1">CONCATENATE("[…]", TEXT(NOW(),"dd/mm/yyy hh:mm:ss"))</f>
        <v>[…]16/07/2025 13:10:00</v>
      </c>
    </row>
    <row r="66" spans="1:6" ht="15" x14ac:dyDescent="0.25">
      <c r="A66" t="s">
        <v>138</v>
      </c>
      <c r="B66" s="202" t="s">
        <v>303</v>
      </c>
      <c r="C66" s="202" t="s">
        <v>304</v>
      </c>
      <c r="D66" s="202" t="s">
        <v>172</v>
      </c>
      <c r="E66" s="203" t="s">
        <v>300</v>
      </c>
      <c r="F66" s="203" t="str">
        <f ca="1">MID(CELL("filename"),SEARCH("[",CELL("filename"))+1,SEARCH("]",CELL("filename"))-SEARCH("[",CELL("filename"))-1)</f>
        <v>PR24-FD-PD02-Customer-measure-of-experience-C-MeX.xlsx</v>
      </c>
    </row>
    <row r="67" spans="1:6" ht="15" x14ac:dyDescent="0.25">
      <c r="A67" t="s">
        <v>138</v>
      </c>
      <c r="B67" s="202" t="s">
        <v>305</v>
      </c>
      <c r="C67" s="202" t="s">
        <v>306</v>
      </c>
      <c r="D67" s="202" t="s">
        <v>172</v>
      </c>
      <c r="E67" s="203" t="s">
        <v>300</v>
      </c>
      <c r="F67" s="203" t="s">
        <v>307</v>
      </c>
    </row>
    <row r="68" spans="1:6" ht="15" x14ac:dyDescent="0.25">
      <c r="A68" t="s">
        <v>138</v>
      </c>
      <c r="B68" s="202" t="s">
        <v>308</v>
      </c>
      <c r="C68" s="202" t="s">
        <v>309</v>
      </c>
      <c r="D68" s="202" t="s">
        <v>310</v>
      </c>
      <c r="E68" s="203" t="s">
        <v>300</v>
      </c>
      <c r="F68" s="203">
        <f>IF(SUM(InpOverride!$F$4:$M$330)&gt;0,1,0)</f>
        <v>1</v>
      </c>
    </row>
    <row r="69" spans="1:6" x14ac:dyDescent="0.2">
      <c r="A69" t="s">
        <v>140</v>
      </c>
      <c r="B69" t="s">
        <v>298</v>
      </c>
      <c r="C69" s="117" t="s">
        <v>299</v>
      </c>
      <c r="D69" t="s">
        <v>176</v>
      </c>
      <c r="E69" t="s">
        <v>300</v>
      </c>
      <c r="F69" s="122">
        <f>Outputs!$F$19</f>
        <v>-12.211073531928083</v>
      </c>
    </row>
    <row r="70" spans="1:6" ht="15" x14ac:dyDescent="0.25">
      <c r="A70" t="s">
        <v>140</v>
      </c>
      <c r="B70" s="202" t="s">
        <v>301</v>
      </c>
      <c r="C70" s="202" t="s">
        <v>302</v>
      </c>
      <c r="D70" s="202" t="s">
        <v>172</v>
      </c>
      <c r="E70" s="203" t="s">
        <v>300</v>
      </c>
      <c r="F70" s="204" t="str">
        <f ca="1">CONCATENATE("[…]", TEXT(NOW(),"dd/mm/yyy hh:mm:ss"))</f>
        <v>[…]16/07/2025 13:10:00</v>
      </c>
    </row>
    <row r="71" spans="1:6" ht="15" x14ac:dyDescent="0.25">
      <c r="A71" t="s">
        <v>140</v>
      </c>
      <c r="B71" s="202" t="s">
        <v>303</v>
      </c>
      <c r="C71" s="202" t="s">
        <v>304</v>
      </c>
      <c r="D71" s="202" t="s">
        <v>172</v>
      </c>
      <c r="E71" s="203" t="s">
        <v>300</v>
      </c>
      <c r="F71" s="203" t="str">
        <f ca="1">MID(CELL("filename"),SEARCH("[",CELL("filename"))+1,SEARCH("]",CELL("filename"))-SEARCH("[",CELL("filename"))-1)</f>
        <v>PR24-FD-PD02-Customer-measure-of-experience-C-MeX.xlsx</v>
      </c>
    </row>
    <row r="72" spans="1:6" ht="15" x14ac:dyDescent="0.25">
      <c r="A72" t="s">
        <v>140</v>
      </c>
      <c r="B72" s="202" t="s">
        <v>305</v>
      </c>
      <c r="C72" s="202" t="s">
        <v>306</v>
      </c>
      <c r="D72" s="202" t="s">
        <v>172</v>
      </c>
      <c r="E72" s="203" t="s">
        <v>300</v>
      </c>
      <c r="F72" s="203" t="s">
        <v>307</v>
      </c>
    </row>
    <row r="73" spans="1:6" ht="15" x14ac:dyDescent="0.25">
      <c r="A73" t="s">
        <v>140</v>
      </c>
      <c r="B73" s="202" t="s">
        <v>308</v>
      </c>
      <c r="C73" s="202" t="s">
        <v>309</v>
      </c>
      <c r="D73" s="202" t="s">
        <v>310</v>
      </c>
      <c r="E73" s="203" t="s">
        <v>300</v>
      </c>
      <c r="F73" s="203">
        <f>IF(SUM(InpOverride!$F$4:$M$330)&gt;0,1,0)</f>
        <v>1</v>
      </c>
    </row>
    <row r="74" spans="1:6" x14ac:dyDescent="0.2">
      <c r="A74" t="s">
        <v>142</v>
      </c>
      <c r="B74" t="s">
        <v>298</v>
      </c>
      <c r="C74" s="117" t="s">
        <v>299</v>
      </c>
      <c r="D74" t="s">
        <v>176</v>
      </c>
      <c r="E74" t="s">
        <v>300</v>
      </c>
      <c r="F74" s="122">
        <f>Outputs!$F$20</f>
        <v>1.8001478932249191</v>
      </c>
    </row>
    <row r="75" spans="1:6" ht="15" x14ac:dyDescent="0.25">
      <c r="A75" t="s">
        <v>142</v>
      </c>
      <c r="B75" s="202" t="s">
        <v>301</v>
      </c>
      <c r="C75" s="202" t="s">
        <v>302</v>
      </c>
      <c r="D75" s="202" t="s">
        <v>172</v>
      </c>
      <c r="E75" s="203" t="s">
        <v>300</v>
      </c>
      <c r="F75" s="204" t="str">
        <f ca="1">CONCATENATE("[…]", TEXT(NOW(),"dd/mm/yyy hh:mm:ss"))</f>
        <v>[…]16/07/2025 13:10:00</v>
      </c>
    </row>
    <row r="76" spans="1:6" ht="15" x14ac:dyDescent="0.25">
      <c r="A76" t="s">
        <v>142</v>
      </c>
      <c r="B76" s="202" t="s">
        <v>303</v>
      </c>
      <c r="C76" s="202" t="s">
        <v>304</v>
      </c>
      <c r="D76" s="202" t="s">
        <v>172</v>
      </c>
      <c r="E76" s="203" t="s">
        <v>300</v>
      </c>
      <c r="F76" s="203" t="str">
        <f ca="1">MID(CELL("filename"),SEARCH("[",CELL("filename"))+1,SEARCH("]",CELL("filename"))-SEARCH("[",CELL("filename"))-1)</f>
        <v>PR24-FD-PD02-Customer-measure-of-experience-C-MeX.xlsx</v>
      </c>
    </row>
    <row r="77" spans="1:6" ht="15" x14ac:dyDescent="0.25">
      <c r="A77" t="s">
        <v>142</v>
      </c>
      <c r="B77" s="202" t="s">
        <v>305</v>
      </c>
      <c r="C77" s="202" t="s">
        <v>306</v>
      </c>
      <c r="D77" s="202" t="s">
        <v>172</v>
      </c>
      <c r="E77" s="203" t="s">
        <v>300</v>
      </c>
      <c r="F77" s="203" t="s">
        <v>307</v>
      </c>
    </row>
    <row r="78" spans="1:6" ht="15" x14ac:dyDescent="0.25">
      <c r="A78" t="s">
        <v>142</v>
      </c>
      <c r="B78" s="202" t="s">
        <v>308</v>
      </c>
      <c r="C78" s="202" t="s">
        <v>309</v>
      </c>
      <c r="D78" s="202" t="s">
        <v>310</v>
      </c>
      <c r="E78" s="203" t="s">
        <v>300</v>
      </c>
      <c r="F78" s="203">
        <f>IF(SUM(InpOverride!$F$4:$M$330)&gt;0,1,0)</f>
        <v>1</v>
      </c>
    </row>
    <row r="79" spans="1:6" x14ac:dyDescent="0.2">
      <c r="A79" t="s">
        <v>144</v>
      </c>
      <c r="B79" t="s">
        <v>298</v>
      </c>
      <c r="C79" s="117" t="s">
        <v>299</v>
      </c>
      <c r="D79" t="s">
        <v>176</v>
      </c>
      <c r="E79" t="s">
        <v>300</v>
      </c>
      <c r="F79" s="122">
        <f>Outputs!$F$21</f>
        <v>1.4321095337151488</v>
      </c>
    </row>
    <row r="80" spans="1:6" ht="15" x14ac:dyDescent="0.25">
      <c r="A80" t="s">
        <v>144</v>
      </c>
      <c r="B80" s="202" t="s">
        <v>301</v>
      </c>
      <c r="C80" s="202" t="s">
        <v>302</v>
      </c>
      <c r="D80" s="202" t="s">
        <v>172</v>
      </c>
      <c r="E80" s="203" t="s">
        <v>300</v>
      </c>
      <c r="F80" s="204" t="str">
        <f ca="1">CONCATENATE("[…]", TEXT(NOW(),"dd/mm/yyy hh:mm:ss"))</f>
        <v>[…]16/07/2025 13:10:00</v>
      </c>
    </row>
    <row r="81" spans="1:6" ht="15" x14ac:dyDescent="0.25">
      <c r="A81" t="s">
        <v>144</v>
      </c>
      <c r="B81" s="202" t="s">
        <v>303</v>
      </c>
      <c r="C81" s="202" t="s">
        <v>304</v>
      </c>
      <c r="D81" s="202" t="s">
        <v>172</v>
      </c>
      <c r="E81" s="203" t="s">
        <v>300</v>
      </c>
      <c r="F81" s="203" t="str">
        <f ca="1">MID(CELL("filename"),SEARCH("[",CELL("filename"))+1,SEARCH("]",CELL("filename"))-SEARCH("[",CELL("filename"))-1)</f>
        <v>PR24-FD-PD02-Customer-measure-of-experience-C-MeX.xlsx</v>
      </c>
    </row>
    <row r="82" spans="1:6" ht="15" x14ac:dyDescent="0.25">
      <c r="A82" t="s">
        <v>144</v>
      </c>
      <c r="B82" s="202" t="s">
        <v>305</v>
      </c>
      <c r="C82" s="202" t="s">
        <v>306</v>
      </c>
      <c r="D82" s="202" t="s">
        <v>172</v>
      </c>
      <c r="E82" s="203" t="s">
        <v>300</v>
      </c>
      <c r="F82" s="203" t="s">
        <v>307</v>
      </c>
    </row>
    <row r="83" spans="1:6" ht="15" x14ac:dyDescent="0.25">
      <c r="A83" t="s">
        <v>144</v>
      </c>
      <c r="B83" s="202" t="s">
        <v>308</v>
      </c>
      <c r="C83" s="202" t="s">
        <v>309</v>
      </c>
      <c r="D83" s="202" t="s">
        <v>310</v>
      </c>
      <c r="E83" s="203" t="s">
        <v>300</v>
      </c>
      <c r="F83" s="203">
        <f>IF(SUM(InpOverride!$F$4:$M$330)&gt;0,1,0)</f>
        <v>1</v>
      </c>
    </row>
    <row r="84" spans="1:6" x14ac:dyDescent="0.2">
      <c r="A84" t="s">
        <v>146</v>
      </c>
      <c r="B84" t="s">
        <v>298</v>
      </c>
      <c r="C84" s="117" t="s">
        <v>299</v>
      </c>
      <c r="D84" t="s">
        <v>176</v>
      </c>
      <c r="E84" t="s">
        <v>300</v>
      </c>
      <c r="F84" s="122">
        <f>Outputs!$F$22</f>
        <v>-0.14428798683293881</v>
      </c>
    </row>
    <row r="85" spans="1:6" ht="15" x14ac:dyDescent="0.25">
      <c r="A85" t="s">
        <v>146</v>
      </c>
      <c r="B85" s="202" t="s">
        <v>301</v>
      </c>
      <c r="C85" s="202" t="s">
        <v>302</v>
      </c>
      <c r="D85" s="202" t="s">
        <v>172</v>
      </c>
      <c r="E85" s="203" t="s">
        <v>300</v>
      </c>
      <c r="F85" s="204" t="str">
        <f ca="1">CONCATENATE("[…]", TEXT(NOW(),"dd/mm/yyy hh:mm:ss"))</f>
        <v>[…]16/07/2025 13:10:00</v>
      </c>
    </row>
    <row r="86" spans="1:6" ht="15" x14ac:dyDescent="0.25">
      <c r="A86" t="s">
        <v>146</v>
      </c>
      <c r="B86" s="202" t="s">
        <v>303</v>
      </c>
      <c r="C86" s="202" t="s">
        <v>304</v>
      </c>
      <c r="D86" s="202" t="s">
        <v>172</v>
      </c>
      <c r="E86" s="203" t="s">
        <v>300</v>
      </c>
      <c r="F86" s="203" t="str">
        <f ca="1">MID(CELL("filename"),SEARCH("[",CELL("filename"))+1,SEARCH("]",CELL("filename"))-SEARCH("[",CELL("filename"))-1)</f>
        <v>PR24-FD-PD02-Customer-measure-of-experience-C-MeX.xlsx</v>
      </c>
    </row>
    <row r="87" spans="1:6" ht="15" x14ac:dyDescent="0.25">
      <c r="A87" t="s">
        <v>146</v>
      </c>
      <c r="B87" s="202" t="s">
        <v>305</v>
      </c>
      <c r="C87" s="202" t="s">
        <v>306</v>
      </c>
      <c r="D87" s="202" t="s">
        <v>172</v>
      </c>
      <c r="E87" s="203" t="s">
        <v>300</v>
      </c>
      <c r="F87" s="203" t="s">
        <v>307</v>
      </c>
    </row>
    <row r="88" spans="1:6" ht="15" x14ac:dyDescent="0.25">
      <c r="A88" t="s">
        <v>146</v>
      </c>
      <c r="B88" s="202" t="s">
        <v>308</v>
      </c>
      <c r="C88" s="202" t="s">
        <v>309</v>
      </c>
      <c r="D88" s="202" t="s">
        <v>310</v>
      </c>
      <c r="E88" s="203" t="s">
        <v>300</v>
      </c>
      <c r="F88" s="203">
        <f>IF(SUM(InpOverride!$F$4:$M$330)&gt;0,1,0)</f>
        <v>1</v>
      </c>
    </row>
  </sheetData>
  <sheetProtection sort="0"/>
  <phoneticPr fontId="51" type="noConversion"/>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8995-70B1-42B2-BBC3-C32E0F631917}">
  <sheetPr>
    <pageSetUpPr fitToPage="1"/>
  </sheetPr>
  <dimension ref="A1:X156"/>
  <sheetViews>
    <sheetView zoomScale="80" zoomScaleNormal="80" workbookViewId="0"/>
  </sheetViews>
  <sheetFormatPr defaultColWidth="9.140625" defaultRowHeight="12.75" customHeight="1" zeroHeight="1" x14ac:dyDescent="0.2"/>
  <cols>
    <col min="1" max="2" width="2.7109375" style="75" customWidth="1"/>
    <col min="3" max="3" width="25.28515625" style="75" customWidth="1"/>
    <col min="4" max="6" width="2.7109375" style="75" customWidth="1"/>
    <col min="7" max="7" width="21.85546875" style="75" customWidth="1"/>
    <col min="8" max="8" width="2.7109375" style="75" customWidth="1"/>
    <col min="9" max="9" width="6.7109375" style="75" customWidth="1"/>
    <col min="10" max="10" width="2.7109375" style="75" customWidth="1"/>
    <col min="11" max="11" width="33.42578125" style="75" customWidth="1"/>
    <col min="12" max="12" width="2.7109375" style="75" customWidth="1"/>
    <col min="13" max="13" width="6.7109375" style="75" customWidth="1"/>
    <col min="14" max="14" width="2.7109375" style="75" customWidth="1"/>
    <col min="15" max="15" width="31.140625" style="75" customWidth="1"/>
    <col min="16" max="16" width="3" style="75" customWidth="1"/>
    <col min="17" max="18" width="2.7109375" style="75" customWidth="1"/>
    <col min="19" max="19" width="21.28515625" style="75" customWidth="1"/>
    <col min="20" max="22" width="2.7109375" style="75" customWidth="1"/>
    <col min="23" max="23" width="21.28515625" style="75" customWidth="1"/>
    <col min="24" max="25" width="2.7109375" style="75" customWidth="1"/>
    <col min="26" max="16384" width="9.140625" style="75"/>
  </cols>
  <sheetData>
    <row r="1" spans="1:24" s="1" customFormat="1" ht="30" x14ac:dyDescent="0.4">
      <c r="A1" s="1" t="str">
        <f ca="1" xml:space="preserve"> RIGHT(CELL("filename", $A$1), LEN(CELL("filename", $A$1)) - SEARCH("]", CELL("filename", $A$1)))</f>
        <v>ToC</v>
      </c>
    </row>
    <row r="2" spans="1:24" s="95" customFormat="1" x14ac:dyDescent="0.2"/>
    <row r="3" spans="1:24" s="96" customFormat="1" x14ac:dyDescent="0.2">
      <c r="C3" s="96" t="s">
        <v>44</v>
      </c>
      <c r="G3" s="96" t="s">
        <v>45</v>
      </c>
      <c r="K3" s="96" t="s">
        <v>46</v>
      </c>
      <c r="O3" s="96" t="s">
        <v>47</v>
      </c>
      <c r="S3" s="96" t="s">
        <v>48</v>
      </c>
    </row>
    <row r="4" spans="1:24" s="95" customFormat="1" x14ac:dyDescent="0.2"/>
    <row r="5" spans="1:24" s="95" customFormat="1" x14ac:dyDescent="0.2">
      <c r="S5" s="97" t="s">
        <v>49</v>
      </c>
      <c r="W5" s="97" t="s">
        <v>50</v>
      </c>
    </row>
    <row r="6" spans="1:24" s="95" customFormat="1" x14ac:dyDescent="0.2">
      <c r="S6" s="97"/>
      <c r="W6" s="97"/>
    </row>
    <row r="7" spans="1:24" s="95" customFormat="1" x14ac:dyDescent="0.2">
      <c r="B7" s="98"/>
      <c r="C7" s="99"/>
      <c r="D7" s="100"/>
      <c r="F7" s="98"/>
      <c r="G7" s="99"/>
      <c r="H7" s="100"/>
      <c r="J7" s="98"/>
      <c r="K7" s="99"/>
      <c r="L7" s="100"/>
      <c r="N7" s="98"/>
      <c r="O7" s="99"/>
      <c r="P7" s="100"/>
      <c r="R7" s="98"/>
      <c r="S7" s="99"/>
      <c r="T7" s="100"/>
      <c r="V7" s="98"/>
      <c r="W7" s="99"/>
      <c r="X7" s="100"/>
    </row>
    <row r="8" spans="1:24" s="95" customFormat="1" x14ac:dyDescent="0.2">
      <c r="B8" s="101"/>
      <c r="C8" s="102" t="s">
        <v>51</v>
      </c>
      <c r="D8" s="103"/>
      <c r="F8" s="101"/>
      <c r="G8" s="77" t="s">
        <v>52</v>
      </c>
      <c r="H8" s="103"/>
      <c r="J8" s="101"/>
      <c r="K8" s="104" t="s">
        <v>38</v>
      </c>
      <c r="L8" s="103"/>
      <c r="N8" s="101"/>
      <c r="O8" s="76" t="s">
        <v>53</v>
      </c>
      <c r="P8" s="103"/>
      <c r="R8" s="101"/>
      <c r="S8" s="104" t="s">
        <v>54</v>
      </c>
      <c r="T8" s="103"/>
      <c r="V8" s="101"/>
      <c r="W8" s="105" t="s">
        <v>55</v>
      </c>
      <c r="X8" s="103"/>
    </row>
    <row r="9" spans="1:24" s="95" customFormat="1" ht="63.75" x14ac:dyDescent="0.2">
      <c r="B9" s="101"/>
      <c r="C9" s="111" t="s">
        <v>56</v>
      </c>
      <c r="D9" s="103"/>
      <c r="F9" s="101"/>
      <c r="G9" s="38" t="s">
        <v>57</v>
      </c>
      <c r="H9" s="103"/>
      <c r="J9" s="101"/>
      <c r="K9" s="38" t="s">
        <v>58</v>
      </c>
      <c r="L9" s="103"/>
      <c r="N9" s="101"/>
      <c r="O9" s="38" t="s">
        <v>59</v>
      </c>
      <c r="P9" s="103"/>
      <c r="R9" s="101"/>
      <c r="S9" s="38"/>
      <c r="T9" s="103"/>
      <c r="V9" s="101"/>
      <c r="W9" s="38"/>
      <c r="X9" s="103"/>
    </row>
    <row r="10" spans="1:24" s="95" customFormat="1" x14ac:dyDescent="0.2">
      <c r="B10" s="101"/>
      <c r="C10" s="106"/>
      <c r="D10" s="103"/>
      <c r="F10" s="101"/>
      <c r="H10" s="103"/>
      <c r="J10" s="101"/>
      <c r="L10" s="103"/>
      <c r="N10" s="107"/>
      <c r="O10" s="108"/>
      <c r="P10" s="109"/>
      <c r="R10" s="107"/>
      <c r="S10" s="108"/>
      <c r="T10" s="109"/>
      <c r="V10" s="107"/>
      <c r="W10" s="108"/>
      <c r="X10" s="109"/>
    </row>
    <row r="11" spans="1:24" s="95" customFormat="1" x14ac:dyDescent="0.2">
      <c r="B11" s="101"/>
      <c r="C11" s="4"/>
      <c r="D11" s="103"/>
      <c r="F11" s="101"/>
      <c r="G11" s="4"/>
      <c r="H11" s="103"/>
      <c r="J11" s="101"/>
      <c r="K11" s="104" t="s">
        <v>60</v>
      </c>
      <c r="L11" s="103"/>
      <c r="S11" s="4"/>
      <c r="W11" s="4"/>
    </row>
    <row r="12" spans="1:24" s="95" customFormat="1" ht="51" x14ac:dyDescent="0.2">
      <c r="B12" s="101"/>
      <c r="D12" s="103"/>
      <c r="F12" s="101"/>
      <c r="H12" s="103"/>
      <c r="J12" s="101"/>
      <c r="K12" s="38" t="s">
        <v>61</v>
      </c>
      <c r="L12" s="103"/>
    </row>
    <row r="13" spans="1:24" s="95" customFormat="1" x14ac:dyDescent="0.2">
      <c r="B13" s="107"/>
      <c r="C13" s="108"/>
      <c r="D13" s="109"/>
      <c r="F13" s="107"/>
      <c r="G13" s="108"/>
      <c r="H13" s="109"/>
      <c r="J13" s="107"/>
      <c r="K13" s="110"/>
      <c r="L13" s="109"/>
    </row>
    <row r="14" spans="1:24" s="95" customFormat="1" x14ac:dyDescent="0.2"/>
    <row r="15" spans="1:24" s="95" customFormat="1" x14ac:dyDescent="0.2"/>
    <row r="16" spans="1:24" s="95" customFormat="1" x14ac:dyDescent="0.2"/>
    <row r="17" spans="1:1" s="95" customFormat="1" x14ac:dyDescent="0.2"/>
    <row r="18" spans="1:1" s="95" customFormat="1" x14ac:dyDescent="0.2"/>
    <row r="19" spans="1:1" s="95" customFormat="1" x14ac:dyDescent="0.2"/>
    <row r="20" spans="1:1" s="95" customFormat="1" x14ac:dyDescent="0.2"/>
    <row r="21" spans="1:1" s="95" customFormat="1" x14ac:dyDescent="0.2"/>
    <row r="22" spans="1:1" s="95" customFormat="1" x14ac:dyDescent="0.2"/>
    <row r="23" spans="1:1" s="95" customFormat="1" x14ac:dyDescent="0.2"/>
    <row r="24" spans="1:1" s="3" customFormat="1" ht="13.5" x14ac:dyDescent="0.25">
      <c r="A24" s="3" t="s">
        <v>43</v>
      </c>
    </row>
    <row r="25" spans="1:1" s="95" customFormat="1" x14ac:dyDescent="0.2"/>
    <row r="26" spans="1:1" s="95" customFormat="1" hidden="1" x14ac:dyDescent="0.2"/>
    <row r="27" spans="1:1" s="95" customFormat="1" hidden="1" x14ac:dyDescent="0.2"/>
    <row r="28" spans="1:1" s="95" customFormat="1" hidden="1" x14ac:dyDescent="0.2"/>
    <row r="29" spans="1:1" s="95" customFormat="1" hidden="1" x14ac:dyDescent="0.2"/>
    <row r="30" spans="1:1" s="95" customFormat="1" hidden="1" x14ac:dyDescent="0.2"/>
    <row r="31" spans="1:1" s="95" customFormat="1" hidden="1" x14ac:dyDescent="0.2"/>
    <row r="32" spans="1:1" s="95" customFormat="1" hidden="1" x14ac:dyDescent="0.2"/>
    <row r="33" s="95" customFormat="1" hidden="1" x14ac:dyDescent="0.2"/>
    <row r="34" s="95" customFormat="1" hidden="1" x14ac:dyDescent="0.2"/>
    <row r="35" s="95" customFormat="1" hidden="1" x14ac:dyDescent="0.2"/>
    <row r="36" s="95" customFormat="1" hidden="1" x14ac:dyDescent="0.2"/>
    <row r="37" s="95" customFormat="1" hidden="1" x14ac:dyDescent="0.2"/>
    <row r="38" s="95" customFormat="1" hidden="1" x14ac:dyDescent="0.2"/>
    <row r="39" s="95" customFormat="1" hidden="1" x14ac:dyDescent="0.2"/>
    <row r="40" s="95" customFormat="1" hidden="1" x14ac:dyDescent="0.2"/>
    <row r="41" s="95" customFormat="1" hidden="1" x14ac:dyDescent="0.2"/>
    <row r="42" s="95" customFormat="1" hidden="1" x14ac:dyDescent="0.2"/>
    <row r="43" s="95" customFormat="1" hidden="1" x14ac:dyDescent="0.2"/>
    <row r="44" s="95" customFormat="1" hidden="1" x14ac:dyDescent="0.2"/>
    <row r="45" s="95" customFormat="1" hidden="1" x14ac:dyDescent="0.2"/>
    <row r="46" s="95" customFormat="1" hidden="1" x14ac:dyDescent="0.2"/>
    <row r="47" s="95" customFormat="1" hidden="1" x14ac:dyDescent="0.2"/>
    <row r="48" s="95" customFormat="1" hidden="1" x14ac:dyDescent="0.2"/>
    <row r="49" s="95" customFormat="1" hidden="1" x14ac:dyDescent="0.2"/>
    <row r="50" s="95" customFormat="1" hidden="1" x14ac:dyDescent="0.2"/>
    <row r="51" s="95" customFormat="1" hidden="1" x14ac:dyDescent="0.2"/>
    <row r="52" s="95" customFormat="1" hidden="1" x14ac:dyDescent="0.2"/>
    <row r="53" s="95" customFormat="1" hidden="1" x14ac:dyDescent="0.2"/>
    <row r="54" s="95" customFormat="1" hidden="1" x14ac:dyDescent="0.2"/>
    <row r="55" s="95" customFormat="1" hidden="1" x14ac:dyDescent="0.2"/>
    <row r="56" s="95" customFormat="1" hidden="1" x14ac:dyDescent="0.2"/>
    <row r="57" s="95" customFormat="1" hidden="1" x14ac:dyDescent="0.2"/>
    <row r="58" s="95" customFormat="1" hidden="1" x14ac:dyDescent="0.2"/>
    <row r="59" s="95" customFormat="1" hidden="1" x14ac:dyDescent="0.2"/>
    <row r="60" s="95" customFormat="1" hidden="1" x14ac:dyDescent="0.2"/>
    <row r="61" s="95" customFormat="1" hidden="1" x14ac:dyDescent="0.2"/>
    <row r="62" s="95" customFormat="1" hidden="1" x14ac:dyDescent="0.2"/>
    <row r="63" s="95" customFormat="1" hidden="1" x14ac:dyDescent="0.2"/>
    <row r="64" s="95" customFormat="1" hidden="1" x14ac:dyDescent="0.2"/>
    <row r="65" s="95" customFormat="1" hidden="1" x14ac:dyDescent="0.2"/>
    <row r="66" s="95" customFormat="1" hidden="1" x14ac:dyDescent="0.2"/>
    <row r="67" s="95" customFormat="1" hidden="1" x14ac:dyDescent="0.2"/>
    <row r="68" s="95" customFormat="1" hidden="1" x14ac:dyDescent="0.2"/>
    <row r="69" s="95" customFormat="1" hidden="1" x14ac:dyDescent="0.2"/>
    <row r="70" s="95" customFormat="1" hidden="1" x14ac:dyDescent="0.2"/>
    <row r="71" s="95" customFormat="1" hidden="1" x14ac:dyDescent="0.2"/>
    <row r="72" s="95" customFormat="1" hidden="1" x14ac:dyDescent="0.2"/>
    <row r="73" s="95" customFormat="1" hidden="1" x14ac:dyDescent="0.2"/>
    <row r="74" s="95" customFormat="1" x14ac:dyDescent="0.2"/>
    <row r="75" s="95" customFormat="1" x14ac:dyDescent="0.2"/>
    <row r="76" s="95" customFormat="1" x14ac:dyDescent="0.2"/>
    <row r="77" s="95" customFormat="1" x14ac:dyDescent="0.2"/>
    <row r="78" s="95" customFormat="1" x14ac:dyDescent="0.2"/>
    <row r="79" s="95" customFormat="1" x14ac:dyDescent="0.2"/>
    <row r="80" s="95" customFormat="1" x14ac:dyDescent="0.2"/>
    <row r="81" s="95" customFormat="1" x14ac:dyDescent="0.2"/>
    <row r="82" s="95" customFormat="1" x14ac:dyDescent="0.2"/>
    <row r="83" s="95" customFormat="1" x14ac:dyDescent="0.2"/>
    <row r="84" s="95" customFormat="1" x14ac:dyDescent="0.2"/>
    <row r="85" s="95" customFormat="1" x14ac:dyDescent="0.2"/>
    <row r="86" s="95" customFormat="1" x14ac:dyDescent="0.2"/>
    <row r="87" s="95" customFormat="1" x14ac:dyDescent="0.2"/>
    <row r="88" s="95" customFormat="1" x14ac:dyDescent="0.2"/>
    <row r="89" s="95" customFormat="1" x14ac:dyDescent="0.2"/>
    <row r="90" s="95" customFormat="1" x14ac:dyDescent="0.2"/>
    <row r="91" s="95" customFormat="1" x14ac:dyDescent="0.2"/>
    <row r="92" s="95" customFormat="1" x14ac:dyDescent="0.2"/>
    <row r="93" s="95" customFormat="1" x14ac:dyDescent="0.2"/>
    <row r="94" s="95" customFormat="1" x14ac:dyDescent="0.2"/>
    <row r="95" s="95" customFormat="1" x14ac:dyDescent="0.2"/>
    <row r="96" s="95" customFormat="1" x14ac:dyDescent="0.2"/>
    <row r="97" s="95" customFormat="1" x14ac:dyDescent="0.2"/>
    <row r="98" s="95" customFormat="1" x14ac:dyDescent="0.2"/>
    <row r="99" s="95" customFormat="1" x14ac:dyDescent="0.2"/>
    <row r="100" s="95" customFormat="1" x14ac:dyDescent="0.2"/>
    <row r="101" s="95" customFormat="1" x14ac:dyDescent="0.2"/>
    <row r="102" s="95" customFormat="1" x14ac:dyDescent="0.2"/>
    <row r="103" s="95" customFormat="1" x14ac:dyDescent="0.2"/>
    <row r="104" s="95" customFormat="1" x14ac:dyDescent="0.2"/>
    <row r="105" s="95" customFormat="1" x14ac:dyDescent="0.2"/>
    <row r="106" s="95" customFormat="1" x14ac:dyDescent="0.2"/>
    <row r="107" s="95" customFormat="1" x14ac:dyDescent="0.2"/>
    <row r="108" s="95" customFormat="1" x14ac:dyDescent="0.2"/>
    <row r="109" s="95" customFormat="1" x14ac:dyDescent="0.2"/>
    <row r="110" s="95" customFormat="1" x14ac:dyDescent="0.2"/>
    <row r="111" s="95" customFormat="1" x14ac:dyDescent="0.2"/>
    <row r="112" s="95" customFormat="1" x14ac:dyDescent="0.2"/>
    <row r="113" s="95" customFormat="1" x14ac:dyDescent="0.2"/>
    <row r="114" s="95" customFormat="1" x14ac:dyDescent="0.2"/>
    <row r="115" s="95" customFormat="1" x14ac:dyDescent="0.2"/>
    <row r="116" s="95" customFormat="1" x14ac:dyDescent="0.2"/>
    <row r="117" s="95" customFormat="1" x14ac:dyDescent="0.2"/>
    <row r="118" s="95" customFormat="1" x14ac:dyDescent="0.2"/>
    <row r="119" s="95" customFormat="1" x14ac:dyDescent="0.2"/>
    <row r="120" s="95" customFormat="1" x14ac:dyDescent="0.2"/>
    <row r="121" s="95" customFormat="1" x14ac:dyDescent="0.2"/>
    <row r="122" s="95" customFormat="1" x14ac:dyDescent="0.2"/>
    <row r="123" s="95" customFormat="1" x14ac:dyDescent="0.2"/>
    <row r="124" s="95" customFormat="1" x14ac:dyDescent="0.2"/>
    <row r="125" s="95" customFormat="1" x14ac:dyDescent="0.2"/>
    <row r="126" s="95" customFormat="1" x14ac:dyDescent="0.2"/>
    <row r="127" s="95" customFormat="1" x14ac:dyDescent="0.2"/>
    <row r="128" s="95" customFormat="1" x14ac:dyDescent="0.2"/>
    <row r="129" s="95" customFormat="1" x14ac:dyDescent="0.2"/>
    <row r="130" s="95" customFormat="1" x14ac:dyDescent="0.2"/>
    <row r="131" s="95" customFormat="1" x14ac:dyDescent="0.2"/>
    <row r="132" s="95" customFormat="1" x14ac:dyDescent="0.2"/>
    <row r="133" s="95" customFormat="1" x14ac:dyDescent="0.2"/>
    <row r="134" s="95" customFormat="1" x14ac:dyDescent="0.2"/>
    <row r="135" s="95" customFormat="1" x14ac:dyDescent="0.2"/>
    <row r="136" s="95" customFormat="1" x14ac:dyDescent="0.2"/>
    <row r="137" s="95" customFormat="1" x14ac:dyDescent="0.2"/>
    <row r="138" s="95" customFormat="1" x14ac:dyDescent="0.2"/>
    <row r="139" s="95" customFormat="1" x14ac:dyDescent="0.2"/>
    <row r="140" s="95" customFormat="1" x14ac:dyDescent="0.2"/>
    <row r="141" s="95" customFormat="1" x14ac:dyDescent="0.2"/>
    <row r="142" s="95" customFormat="1" x14ac:dyDescent="0.2"/>
    <row r="143" s="95" customFormat="1" x14ac:dyDescent="0.2"/>
    <row r="144" s="95" customFormat="1" x14ac:dyDescent="0.2"/>
    <row r="145" s="95" customFormat="1" x14ac:dyDescent="0.2"/>
    <row r="146" s="95" customFormat="1" x14ac:dyDescent="0.2"/>
    <row r="147" s="95" customFormat="1" x14ac:dyDescent="0.2"/>
    <row r="148" s="95" customFormat="1" x14ac:dyDescent="0.2"/>
    <row r="149" s="95" customFormat="1" x14ac:dyDescent="0.2"/>
    <row r="150" s="95" customFormat="1" x14ac:dyDescent="0.2"/>
    <row r="151" s="95" customFormat="1" x14ac:dyDescent="0.2"/>
    <row r="152" s="95" customFormat="1" x14ac:dyDescent="0.2"/>
    <row r="153" s="95" customFormat="1" x14ac:dyDescent="0.2"/>
    <row r="154" s="95" customFormat="1" x14ac:dyDescent="0.2"/>
    <row r="155" s="95" customFormat="1" x14ac:dyDescent="0.2"/>
    <row r="156" s="95" customFormat="1" x14ac:dyDescent="0.2"/>
  </sheetData>
  <pageMargins left="0.70866141732283472" right="0.70866141732283472" top="0.74803149606299213" bottom="0.74803149606299213" header="0.31496062992125984" footer="0.31496062992125984"/>
  <pageSetup paperSize="8" scale="93" fitToHeight="0" orientation="landscape" r:id="rId1"/>
  <headerFooter>
    <oddHeader>&amp;L&amp;F&amp;CSheet: &amp;A&amp;ROFFICIAL</oddHeader>
    <oddFooter>&amp;LPrinted on &amp;D at &amp;T&amp;CPage &amp;P of &amp;N&amp;ROfwat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F167-CFB3-4848-B4BE-3EEFABFC1D59}">
  <sheetPr>
    <tabColor theme="5" tint="0.79998168889431442"/>
    <pageSetUpPr fitToPage="1"/>
  </sheetPr>
  <dimension ref="A1:I132"/>
  <sheetViews>
    <sheetView zoomScale="80" zoomScaleNormal="80" workbookViewId="0">
      <selection activeCell="E5" sqref="E5"/>
    </sheetView>
  </sheetViews>
  <sheetFormatPr defaultColWidth="10.28515625" defaultRowHeight="12.75" x14ac:dyDescent="0.2"/>
  <cols>
    <col min="1" max="4" width="2.85546875" style="4" customWidth="1"/>
    <col min="5" max="5" width="37.5703125" style="4" bestFit="1" customWidth="1"/>
    <col min="6" max="6" width="9.140625" style="4" customWidth="1"/>
    <col min="7" max="7" width="45.5703125" style="4" bestFit="1" customWidth="1"/>
    <col min="8" max="9" width="10.28515625" style="4" customWidth="1"/>
    <col min="10" max="16384" width="10.28515625" style="4"/>
  </cols>
  <sheetData>
    <row r="1" spans="1:9" s="1" customFormat="1" ht="30" x14ac:dyDescent="0.4">
      <c r="A1" s="1" t="str">
        <f ca="1" xml:space="preserve"> RIGHT(CELL("filename", $A$1), LEN(CELL("filename", $A$1)) - SEARCH("]", CELL("filename", $A$1)))</f>
        <v>Model formatting</v>
      </c>
    </row>
    <row r="2" spans="1:9" x14ac:dyDescent="0.2">
      <c r="A2" s="85"/>
      <c r="B2" s="86"/>
      <c r="C2" s="87"/>
      <c r="D2" s="87"/>
    </row>
    <row r="3" spans="1:9" s="2" customFormat="1" ht="13.5" x14ac:dyDescent="0.25">
      <c r="A3" s="2" t="s">
        <v>62</v>
      </c>
    </row>
    <row r="4" spans="1:9" x14ac:dyDescent="0.2">
      <c r="A4" s="88"/>
      <c r="B4" s="88"/>
      <c r="C4" s="89"/>
      <c r="D4" s="90"/>
      <c r="E4" s="91"/>
      <c r="F4" s="91"/>
      <c r="G4" s="91"/>
      <c r="H4" s="91"/>
      <c r="I4" s="91"/>
    </row>
    <row r="5" spans="1:9" x14ac:dyDescent="0.2">
      <c r="A5" s="88"/>
      <c r="B5" s="88"/>
      <c r="C5" s="89"/>
      <c r="D5" s="90"/>
      <c r="E5" s="58" t="s">
        <v>63</v>
      </c>
      <c r="F5" s="91"/>
      <c r="G5" s="91" t="s">
        <v>64</v>
      </c>
      <c r="H5" s="91"/>
      <c r="I5" s="91"/>
    </row>
    <row r="6" spans="1:9" x14ac:dyDescent="0.2">
      <c r="A6" s="88"/>
      <c r="B6" s="88"/>
      <c r="C6" s="89"/>
      <c r="D6" s="90"/>
      <c r="E6" s="92"/>
      <c r="F6" s="91"/>
      <c r="G6" s="91"/>
      <c r="H6" s="91"/>
      <c r="I6" s="91"/>
    </row>
    <row r="7" spans="1:9" x14ac:dyDescent="0.2">
      <c r="A7" s="88"/>
      <c r="B7" s="88"/>
      <c r="C7" s="89"/>
      <c r="D7" s="90"/>
      <c r="E7" s="59" t="s">
        <v>65</v>
      </c>
      <c r="F7" s="91"/>
      <c r="G7" s="91" t="s">
        <v>66</v>
      </c>
      <c r="H7" s="91"/>
      <c r="I7" s="91"/>
    </row>
    <row r="8" spans="1:9" x14ac:dyDescent="0.2">
      <c r="A8" s="88"/>
      <c r="B8" s="88"/>
      <c r="C8" s="89"/>
      <c r="D8" s="90"/>
      <c r="E8" s="92"/>
      <c r="F8" s="91"/>
      <c r="G8" s="91"/>
      <c r="H8" s="91"/>
      <c r="I8" s="91"/>
    </row>
    <row r="9" spans="1:9" x14ac:dyDescent="0.2">
      <c r="A9" s="88"/>
      <c r="B9" s="88"/>
      <c r="C9" s="89"/>
      <c r="D9" s="90"/>
      <c r="E9" s="60" t="s">
        <v>67</v>
      </c>
      <c r="F9" s="91"/>
      <c r="G9" s="91" t="s">
        <v>68</v>
      </c>
      <c r="H9" s="91"/>
      <c r="I9" s="91"/>
    </row>
    <row r="10" spans="1:9" x14ac:dyDescent="0.2">
      <c r="A10" s="88"/>
      <c r="B10" s="88"/>
      <c r="C10" s="89"/>
      <c r="D10" s="90"/>
      <c r="E10" s="92"/>
      <c r="F10" s="91"/>
      <c r="G10" s="91"/>
      <c r="H10" s="91"/>
      <c r="I10" s="91"/>
    </row>
    <row r="11" spans="1:9" x14ac:dyDescent="0.2">
      <c r="A11" s="88"/>
      <c r="B11" s="88"/>
      <c r="C11" s="89"/>
      <c r="D11" s="90"/>
      <c r="E11" s="61" t="s">
        <v>69</v>
      </c>
      <c r="F11" s="91"/>
      <c r="G11" s="91" t="s">
        <v>70</v>
      </c>
      <c r="H11" s="91"/>
      <c r="I11" s="91"/>
    </row>
    <row r="12" spans="1:9" x14ac:dyDescent="0.2">
      <c r="A12" s="88"/>
      <c r="B12" s="88"/>
      <c r="C12" s="89"/>
      <c r="D12" s="90"/>
      <c r="E12" s="92"/>
      <c r="F12" s="91"/>
      <c r="G12" s="91"/>
      <c r="H12" s="91"/>
      <c r="I12" s="91"/>
    </row>
    <row r="13" spans="1:9" x14ac:dyDescent="0.2">
      <c r="A13" s="88"/>
      <c r="B13" s="88"/>
      <c r="C13" s="89"/>
      <c r="D13" s="90"/>
      <c r="E13" s="62" t="s">
        <v>71</v>
      </c>
      <c r="F13" s="91"/>
      <c r="G13" s="91" t="s">
        <v>72</v>
      </c>
      <c r="H13" s="91"/>
      <c r="I13" s="91"/>
    </row>
    <row r="14" spans="1:9" x14ac:dyDescent="0.2">
      <c r="A14" s="88"/>
      <c r="B14" s="88"/>
      <c r="C14" s="89"/>
      <c r="D14" s="90"/>
      <c r="E14" s="91"/>
      <c r="F14" s="91"/>
      <c r="G14" s="91"/>
      <c r="H14" s="91"/>
      <c r="I14" s="91"/>
    </row>
    <row r="15" spans="1:9" x14ac:dyDescent="0.2">
      <c r="A15" s="88"/>
      <c r="B15" s="88"/>
      <c r="C15" s="89"/>
      <c r="D15" s="90"/>
      <c r="E15" s="63" t="s">
        <v>73</v>
      </c>
      <c r="F15" s="91"/>
      <c r="G15" s="91" t="s">
        <v>74</v>
      </c>
      <c r="H15" s="91"/>
      <c r="I15" s="91"/>
    </row>
    <row r="16" spans="1:9" x14ac:dyDescent="0.2">
      <c r="A16" s="88"/>
      <c r="B16" s="88"/>
      <c r="C16" s="89"/>
      <c r="D16" s="90"/>
      <c r="E16" s="91"/>
      <c r="F16" s="91"/>
      <c r="G16" s="91"/>
      <c r="H16" s="91"/>
      <c r="I16" s="91"/>
    </row>
    <row r="17" spans="1:9" s="2" customFormat="1" ht="13.5" x14ac:dyDescent="0.25">
      <c r="A17" s="2" t="s">
        <v>75</v>
      </c>
    </row>
    <row r="18" spans="1:9" x14ac:dyDescent="0.2">
      <c r="A18" s="88"/>
      <c r="B18" s="88"/>
      <c r="C18" s="89"/>
      <c r="D18" s="90"/>
      <c r="E18" s="91"/>
      <c r="F18" s="91"/>
      <c r="G18" s="91"/>
      <c r="H18" s="91"/>
      <c r="I18" s="91"/>
    </row>
    <row r="19" spans="1:9" x14ac:dyDescent="0.2">
      <c r="A19" s="88"/>
      <c r="B19" s="88" t="s">
        <v>76</v>
      </c>
      <c r="C19" s="89"/>
      <c r="D19" s="90"/>
      <c r="E19" s="91"/>
      <c r="F19" s="91"/>
      <c r="G19" s="91"/>
      <c r="H19" s="91"/>
      <c r="I19" s="91"/>
    </row>
    <row r="20" spans="1:9" x14ac:dyDescent="0.2">
      <c r="A20" s="88"/>
      <c r="B20" s="88"/>
      <c r="C20" s="89"/>
      <c r="D20" s="90"/>
      <c r="E20" s="93" t="s">
        <v>77</v>
      </c>
      <c r="F20" s="91"/>
      <c r="G20" s="91" t="s">
        <v>78</v>
      </c>
      <c r="H20" s="91"/>
      <c r="I20" s="91"/>
    </row>
    <row r="21" spans="1:9" x14ac:dyDescent="0.2">
      <c r="A21" s="88"/>
      <c r="B21" s="88"/>
      <c r="C21" s="89"/>
      <c r="D21" s="90"/>
      <c r="E21" s="91"/>
      <c r="F21" s="91"/>
      <c r="G21" s="91"/>
      <c r="H21" s="91"/>
      <c r="I21" s="91"/>
    </row>
    <row r="22" spans="1:9" x14ac:dyDescent="0.2">
      <c r="A22" s="88"/>
      <c r="B22" s="88"/>
      <c r="C22" s="89"/>
      <c r="D22" s="90"/>
      <c r="E22" s="94" t="s">
        <v>79</v>
      </c>
      <c r="F22" s="91"/>
      <c r="G22" s="91" t="s">
        <v>80</v>
      </c>
      <c r="H22" s="91"/>
      <c r="I22" s="91"/>
    </row>
    <row r="23" spans="1:9" x14ac:dyDescent="0.2">
      <c r="A23" s="88"/>
      <c r="B23" s="88"/>
      <c r="C23" s="89"/>
      <c r="D23" s="90"/>
      <c r="E23" s="91"/>
      <c r="F23" s="91"/>
      <c r="G23" s="91"/>
      <c r="H23" s="91"/>
      <c r="I23" s="91"/>
    </row>
    <row r="24" spans="1:9" x14ac:dyDescent="0.2">
      <c r="A24" s="88"/>
      <c r="B24" s="88"/>
      <c r="C24" s="89"/>
      <c r="D24" s="90"/>
      <c r="E24" s="91" t="s">
        <v>81</v>
      </c>
      <c r="F24" s="91"/>
      <c r="G24" s="91" t="s">
        <v>82</v>
      </c>
      <c r="H24" s="91"/>
      <c r="I24" s="91"/>
    </row>
    <row r="25" spans="1:9" x14ac:dyDescent="0.2">
      <c r="A25" s="88"/>
      <c r="B25" s="88"/>
      <c r="C25" s="89"/>
      <c r="D25" s="90"/>
      <c r="E25" s="91"/>
      <c r="F25" s="91"/>
      <c r="G25" s="91"/>
      <c r="H25" s="91"/>
      <c r="I25" s="91"/>
    </row>
    <row r="26" spans="1:9" x14ac:dyDescent="0.2">
      <c r="A26" s="88"/>
      <c r="B26" s="88" t="s">
        <v>83</v>
      </c>
      <c r="C26" s="89"/>
      <c r="D26" s="90"/>
      <c r="E26" s="91"/>
      <c r="F26" s="91"/>
      <c r="G26" s="91"/>
      <c r="H26" s="91"/>
      <c r="I26" s="91"/>
    </row>
    <row r="27" spans="1:9" x14ac:dyDescent="0.2">
      <c r="A27" s="88"/>
      <c r="B27" s="88"/>
      <c r="C27" s="89"/>
      <c r="D27" s="90"/>
      <c r="E27" s="64" t="s">
        <v>84</v>
      </c>
      <c r="F27" s="91"/>
      <c r="G27" s="91" t="s">
        <v>52</v>
      </c>
      <c r="H27" s="91"/>
      <c r="I27" s="91"/>
    </row>
    <row r="28" spans="1:9" x14ac:dyDescent="0.2">
      <c r="A28" s="88"/>
      <c r="B28" s="88"/>
      <c r="C28" s="89"/>
      <c r="D28" s="90"/>
      <c r="E28" s="91"/>
      <c r="F28" s="91"/>
      <c r="G28" s="91"/>
      <c r="H28" s="91"/>
      <c r="I28" s="91"/>
    </row>
    <row r="29" spans="1:9" x14ac:dyDescent="0.2">
      <c r="A29" s="88"/>
      <c r="B29" s="88"/>
      <c r="C29" s="89"/>
      <c r="D29" s="90"/>
      <c r="E29" s="84" t="s">
        <v>85</v>
      </c>
      <c r="F29" s="91"/>
      <c r="G29" s="91" t="s">
        <v>86</v>
      </c>
      <c r="H29" s="91"/>
      <c r="I29" s="91"/>
    </row>
    <row r="30" spans="1:9" x14ac:dyDescent="0.2">
      <c r="A30" s="88"/>
      <c r="B30" s="88"/>
      <c r="C30" s="89"/>
      <c r="D30" s="90"/>
      <c r="E30" s="91"/>
      <c r="F30" s="91"/>
      <c r="G30" s="91"/>
      <c r="H30" s="91"/>
      <c r="I30" s="91"/>
    </row>
    <row r="31" spans="1:9" x14ac:dyDescent="0.2">
      <c r="A31" s="88"/>
      <c r="B31" s="88"/>
      <c r="C31" s="89"/>
      <c r="D31" s="90"/>
      <c r="E31" s="65" t="s">
        <v>87</v>
      </c>
      <c r="F31" s="91"/>
      <c r="G31" s="91" t="s">
        <v>88</v>
      </c>
      <c r="H31" s="91"/>
      <c r="I31" s="91"/>
    </row>
    <row r="32" spans="1:9" x14ac:dyDescent="0.2">
      <c r="A32" s="88"/>
      <c r="B32" s="88"/>
      <c r="C32" s="89"/>
      <c r="D32" s="90"/>
      <c r="E32" s="91"/>
      <c r="F32" s="91"/>
      <c r="G32" s="91"/>
      <c r="H32" s="91"/>
      <c r="I32" s="91"/>
    </row>
    <row r="33" spans="1:9" x14ac:dyDescent="0.2">
      <c r="A33" s="88"/>
      <c r="B33" s="88"/>
      <c r="C33" s="89"/>
      <c r="D33" s="90"/>
      <c r="E33" s="66" t="s">
        <v>89</v>
      </c>
      <c r="F33" s="91"/>
      <c r="G33" s="91" t="s">
        <v>90</v>
      </c>
      <c r="H33" s="91"/>
      <c r="I33" s="91"/>
    </row>
    <row r="34" spans="1:9" x14ac:dyDescent="0.2">
      <c r="A34" s="88"/>
      <c r="B34" s="88"/>
      <c r="C34" s="89"/>
      <c r="D34" s="90"/>
      <c r="E34" s="91"/>
      <c r="F34" s="91"/>
      <c r="G34" s="91"/>
      <c r="H34" s="91"/>
      <c r="I34" s="91"/>
    </row>
    <row r="35" spans="1:9" x14ac:dyDescent="0.2">
      <c r="A35" s="88"/>
      <c r="B35" s="88"/>
      <c r="C35" s="89"/>
      <c r="D35" s="90"/>
      <c r="E35" s="65" t="s">
        <v>91</v>
      </c>
      <c r="F35" s="91"/>
      <c r="G35" s="91" t="s">
        <v>92</v>
      </c>
      <c r="H35" s="91"/>
      <c r="I35" s="91"/>
    </row>
    <row r="36" spans="1:9" x14ac:dyDescent="0.2">
      <c r="A36" s="88"/>
      <c r="B36" s="88"/>
      <c r="C36" s="89"/>
      <c r="D36" s="90"/>
      <c r="E36" s="91"/>
      <c r="F36" s="91"/>
      <c r="G36" s="91"/>
      <c r="H36" s="91"/>
      <c r="I36" s="91"/>
    </row>
    <row r="37" spans="1:9" x14ac:dyDescent="0.2">
      <c r="A37" s="88"/>
      <c r="B37" s="88" t="s">
        <v>93</v>
      </c>
      <c r="C37" s="89"/>
      <c r="D37" s="90"/>
      <c r="E37" s="91"/>
      <c r="F37" s="91"/>
      <c r="G37" s="91"/>
      <c r="H37" s="91"/>
      <c r="I37" s="91"/>
    </row>
    <row r="38" spans="1:9" x14ac:dyDescent="0.2">
      <c r="A38" s="88"/>
      <c r="B38" s="88"/>
      <c r="C38" s="89"/>
      <c r="D38" s="90"/>
      <c r="E38" s="67" t="s">
        <v>94</v>
      </c>
      <c r="F38" s="91"/>
      <c r="G38" s="91" t="s">
        <v>95</v>
      </c>
      <c r="H38" s="91"/>
      <c r="I38" s="91"/>
    </row>
    <row r="39" spans="1:9" x14ac:dyDescent="0.2">
      <c r="A39" s="88"/>
      <c r="B39" s="88"/>
      <c r="C39" s="89"/>
      <c r="D39" s="90"/>
      <c r="E39" s="91"/>
      <c r="F39" s="91"/>
      <c r="G39" s="91"/>
      <c r="H39" s="91"/>
      <c r="I39" s="91"/>
    </row>
    <row r="40" spans="1:9" x14ac:dyDescent="0.2">
      <c r="A40" s="88"/>
      <c r="B40" s="88"/>
      <c r="C40" s="89"/>
      <c r="D40" s="90"/>
      <c r="E40" s="68" t="s">
        <v>96</v>
      </c>
      <c r="F40" s="91"/>
      <c r="G40" s="91" t="s">
        <v>97</v>
      </c>
      <c r="H40" s="91"/>
      <c r="I40" s="91"/>
    </row>
    <row r="41" spans="1:9" x14ac:dyDescent="0.2">
      <c r="A41" s="88"/>
      <c r="B41" s="88"/>
      <c r="C41" s="89"/>
      <c r="D41" s="90"/>
      <c r="E41" s="91"/>
      <c r="F41" s="91"/>
      <c r="G41" s="91"/>
      <c r="H41" s="91"/>
      <c r="I41" s="91"/>
    </row>
    <row r="42" spans="1:9" x14ac:dyDescent="0.2">
      <c r="A42" s="88"/>
      <c r="B42" s="88"/>
      <c r="C42" s="89"/>
      <c r="D42" s="90"/>
      <c r="E42" s="69" t="s">
        <v>98</v>
      </c>
      <c r="F42" s="91"/>
      <c r="G42" s="91" t="s">
        <v>99</v>
      </c>
      <c r="H42" s="91"/>
      <c r="I42" s="91"/>
    </row>
    <row r="43" spans="1:9" x14ac:dyDescent="0.2">
      <c r="A43" s="88"/>
      <c r="B43" s="88"/>
      <c r="C43" s="89"/>
      <c r="D43" s="90"/>
      <c r="E43" s="91"/>
      <c r="F43" s="91"/>
      <c r="G43" s="91"/>
      <c r="H43" s="91"/>
      <c r="I43" s="91"/>
    </row>
    <row r="44" spans="1:9" x14ac:dyDescent="0.2">
      <c r="A44" s="88"/>
      <c r="B44" s="88"/>
      <c r="C44" s="89"/>
      <c r="D44" s="90"/>
      <c r="E44" s="70" t="s">
        <v>100</v>
      </c>
      <c r="F44" s="91"/>
      <c r="G44" s="91" t="s">
        <v>101</v>
      </c>
      <c r="H44" s="91"/>
      <c r="I44" s="91"/>
    </row>
    <row r="45" spans="1:9" x14ac:dyDescent="0.2">
      <c r="A45" s="88"/>
      <c r="B45" s="88"/>
      <c r="C45" s="89"/>
      <c r="D45" s="90"/>
      <c r="E45" s="91"/>
      <c r="F45" s="91"/>
      <c r="G45" s="91"/>
      <c r="H45" s="91"/>
      <c r="I45" s="91"/>
    </row>
    <row r="46" spans="1:9" x14ac:dyDescent="0.2">
      <c r="A46" s="88"/>
      <c r="B46" s="88"/>
      <c r="C46" s="89"/>
      <c r="D46" s="90"/>
      <c r="E46" s="71" t="s">
        <v>102</v>
      </c>
      <c r="F46" s="91"/>
      <c r="G46" s="91" t="s">
        <v>103</v>
      </c>
      <c r="H46" s="91"/>
      <c r="I46" s="91"/>
    </row>
    <row r="47" spans="1:9" x14ac:dyDescent="0.2">
      <c r="A47" s="88"/>
      <c r="B47" s="88"/>
      <c r="C47" s="89"/>
      <c r="D47" s="90"/>
      <c r="E47" s="91"/>
      <c r="F47" s="91"/>
      <c r="G47" s="91"/>
      <c r="H47" s="91"/>
      <c r="I47" s="91"/>
    </row>
    <row r="48" spans="1:9" x14ac:dyDescent="0.2">
      <c r="A48" s="88"/>
      <c r="B48" s="88" t="s">
        <v>104</v>
      </c>
      <c r="C48" s="89"/>
      <c r="D48" s="90"/>
      <c r="E48" s="91"/>
      <c r="F48" s="91"/>
      <c r="G48" s="91"/>
      <c r="H48" s="91"/>
      <c r="I48" s="91"/>
    </row>
    <row r="49" spans="1:9" x14ac:dyDescent="0.2">
      <c r="A49" s="88"/>
      <c r="B49" s="88"/>
      <c r="C49" s="89"/>
      <c r="D49" s="90"/>
      <c r="E49" s="72" t="s">
        <v>105</v>
      </c>
      <c r="F49" s="91"/>
      <c r="G49" s="91" t="s">
        <v>106</v>
      </c>
      <c r="H49" s="91"/>
      <c r="I49" s="91"/>
    </row>
    <row r="50" spans="1:9" x14ac:dyDescent="0.2">
      <c r="A50" s="88"/>
      <c r="B50" s="88"/>
      <c r="C50" s="89"/>
      <c r="D50" s="90"/>
      <c r="E50" s="91"/>
      <c r="F50" s="91"/>
      <c r="G50" s="91"/>
      <c r="H50" s="91"/>
      <c r="I50" s="91"/>
    </row>
    <row r="51" spans="1:9" x14ac:dyDescent="0.2">
      <c r="A51" s="88"/>
      <c r="B51" s="88"/>
      <c r="C51" s="89"/>
      <c r="D51" s="90"/>
      <c r="E51" s="73" t="s">
        <v>107</v>
      </c>
      <c r="F51" s="91"/>
      <c r="G51" s="91" t="s">
        <v>108</v>
      </c>
      <c r="H51" s="91"/>
      <c r="I51" s="91"/>
    </row>
    <row r="52" spans="1:9" x14ac:dyDescent="0.2">
      <c r="A52" s="88"/>
      <c r="B52" s="88"/>
      <c r="C52" s="89"/>
      <c r="D52" s="90"/>
      <c r="E52" s="91"/>
      <c r="F52" s="91"/>
      <c r="G52" s="91"/>
      <c r="H52" s="91"/>
      <c r="I52" s="91"/>
    </row>
    <row r="53" spans="1:9" x14ac:dyDescent="0.2">
      <c r="A53" s="88"/>
      <c r="B53" s="88"/>
      <c r="C53" s="89"/>
      <c r="D53" s="90"/>
      <c r="E53" s="74" t="s">
        <v>109</v>
      </c>
      <c r="F53" s="91"/>
      <c r="G53" s="91" t="s">
        <v>110</v>
      </c>
      <c r="H53" s="91"/>
      <c r="I53" s="91"/>
    </row>
    <row r="54" spans="1:9" x14ac:dyDescent="0.2">
      <c r="A54" s="88"/>
      <c r="B54" s="88"/>
      <c r="C54" s="89"/>
      <c r="D54" s="90"/>
      <c r="E54" s="57"/>
      <c r="F54" s="91"/>
      <c r="G54" s="91"/>
      <c r="H54" s="91"/>
      <c r="I54" s="91"/>
    </row>
    <row r="55" spans="1:9" s="3" customFormat="1" ht="13.5" x14ac:dyDescent="0.25">
      <c r="A55" s="3" t="s">
        <v>43</v>
      </c>
    </row>
    <row r="56" spans="1:9" x14ac:dyDescent="0.2">
      <c r="A56" s="85"/>
      <c r="B56" s="86"/>
      <c r="C56" s="87"/>
      <c r="D56" s="87"/>
    </row>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095D-4002-40B5-B42A-8F15100222A4}">
  <sheetPr>
    <tabColor rgb="FFCCFFFF"/>
    <pageSetUpPr fitToPage="1"/>
  </sheetPr>
  <dimension ref="A1:C22"/>
  <sheetViews>
    <sheetView zoomScale="80" zoomScaleNormal="80" zoomScaleSheetLayoutView="100" workbookViewId="0"/>
  </sheetViews>
  <sheetFormatPr defaultColWidth="9.140625" defaultRowHeight="12.75" x14ac:dyDescent="0.2"/>
  <cols>
    <col min="1" max="1" width="9.140625" style="4" customWidth="1"/>
    <col min="2" max="2" width="40.85546875" style="4" customWidth="1"/>
    <col min="3" max="3" width="9.5703125" style="4" bestFit="1" customWidth="1"/>
    <col min="4" max="10" width="9.140625" style="4" customWidth="1"/>
    <col min="11" max="11" width="2.7109375" style="4" customWidth="1"/>
    <col min="12" max="16384" width="9.140625" style="4"/>
  </cols>
  <sheetData>
    <row r="1" spans="1:3" s="1" customFormat="1" ht="30" x14ac:dyDescent="0.4">
      <c r="A1" s="1" t="str">
        <f ca="1" xml:space="preserve"> RIGHT(CELL("filename", $A$1), LEN(CELL("filename", $A$1)) - SEARCH("]", CELL("filename", $A$1)))</f>
        <v>Validation</v>
      </c>
    </row>
    <row r="3" spans="1:3" ht="13.5" x14ac:dyDescent="0.2">
      <c r="B3" s="39" t="s">
        <v>111</v>
      </c>
      <c r="C3" s="39" t="s">
        <v>112</v>
      </c>
    </row>
    <row r="4" spans="1:3" x14ac:dyDescent="0.2">
      <c r="B4" s="40" t="s">
        <v>113</v>
      </c>
      <c r="C4" s="40" t="s">
        <v>114</v>
      </c>
    </row>
    <row r="5" spans="1:3" x14ac:dyDescent="0.2">
      <c r="B5" s="40" t="s">
        <v>115</v>
      </c>
      <c r="C5" s="40" t="s">
        <v>116</v>
      </c>
    </row>
    <row r="6" spans="1:3" x14ac:dyDescent="0.2">
      <c r="B6" s="40" t="s">
        <v>117</v>
      </c>
      <c r="C6" s="40" t="s">
        <v>118</v>
      </c>
    </row>
    <row r="7" spans="1:3" x14ac:dyDescent="0.2">
      <c r="B7" s="40" t="s">
        <v>119</v>
      </c>
      <c r="C7" s="40" t="s">
        <v>120</v>
      </c>
    </row>
    <row r="8" spans="1:3" x14ac:dyDescent="0.2">
      <c r="B8" s="40" t="s">
        <v>121</v>
      </c>
      <c r="C8" s="40" t="s">
        <v>122</v>
      </c>
    </row>
    <row r="9" spans="1:3" x14ac:dyDescent="0.2">
      <c r="B9" s="40" t="s">
        <v>123</v>
      </c>
      <c r="C9" s="40" t="s">
        <v>124</v>
      </c>
    </row>
    <row r="10" spans="1:3" x14ac:dyDescent="0.2">
      <c r="B10" s="40" t="s">
        <v>125</v>
      </c>
      <c r="C10" s="40" t="s">
        <v>126</v>
      </c>
    </row>
    <row r="11" spans="1:3" x14ac:dyDescent="0.2">
      <c r="B11" s="40" t="s">
        <v>127</v>
      </c>
      <c r="C11" s="40" t="s">
        <v>128</v>
      </c>
    </row>
    <row r="12" spans="1:3" x14ac:dyDescent="0.2">
      <c r="B12" s="40" t="s">
        <v>129</v>
      </c>
      <c r="C12" s="40" t="s">
        <v>130</v>
      </c>
    </row>
    <row r="13" spans="1:3" x14ac:dyDescent="0.2">
      <c r="B13" s="40" t="s">
        <v>131</v>
      </c>
      <c r="C13" s="40" t="s">
        <v>132</v>
      </c>
    </row>
    <row r="14" spans="1:3" x14ac:dyDescent="0.2">
      <c r="B14" s="40" t="s">
        <v>133</v>
      </c>
      <c r="C14" s="40" t="s">
        <v>134</v>
      </c>
    </row>
    <row r="15" spans="1:3" x14ac:dyDescent="0.2">
      <c r="B15" s="40" t="s">
        <v>135</v>
      </c>
      <c r="C15" s="40" t="s">
        <v>136</v>
      </c>
    </row>
    <row r="16" spans="1:3" x14ac:dyDescent="0.2">
      <c r="B16" s="40" t="s">
        <v>137</v>
      </c>
      <c r="C16" s="40" t="s">
        <v>138</v>
      </c>
    </row>
    <row r="17" spans="1:3" x14ac:dyDescent="0.2">
      <c r="B17" s="40" t="s">
        <v>139</v>
      </c>
      <c r="C17" s="40" t="s">
        <v>140</v>
      </c>
    </row>
    <row r="18" spans="1:3" x14ac:dyDescent="0.2">
      <c r="B18" s="40" t="s">
        <v>141</v>
      </c>
      <c r="C18" s="40" t="s">
        <v>142</v>
      </c>
    </row>
    <row r="19" spans="1:3" x14ac:dyDescent="0.2">
      <c r="B19" s="40" t="s">
        <v>143</v>
      </c>
      <c r="C19" s="40" t="s">
        <v>144</v>
      </c>
    </row>
    <row r="20" spans="1:3" x14ac:dyDescent="0.2">
      <c r="B20" s="40" t="s">
        <v>145</v>
      </c>
      <c r="C20" s="40" t="s">
        <v>146</v>
      </c>
    </row>
    <row r="22" spans="1:3" s="3" customFormat="1" ht="13.5" x14ac:dyDescent="0.25">
      <c r="A22" s="3" t="s">
        <v>43</v>
      </c>
    </row>
  </sheetData>
  <sortState xmlns:xlrd2="http://schemas.microsoft.com/office/spreadsheetml/2017/richdata2" ref="B4:C20">
    <sortCondition ref="B4"/>
  </sortState>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56"/>
  <sheetViews>
    <sheetView zoomScale="80" zoomScaleNormal="80" workbookViewId="0">
      <selection activeCell="E4" sqref="E4"/>
    </sheetView>
  </sheetViews>
  <sheetFormatPr defaultRowHeight="12.75" x14ac:dyDescent="0.2"/>
  <cols>
    <col min="3" max="3" width="25.5703125" customWidth="1"/>
    <col min="6" max="6" width="15.7109375" customWidth="1"/>
  </cols>
  <sheetData>
    <row r="1" spans="1:6" ht="15" x14ac:dyDescent="0.25">
      <c r="C1" s="200" t="s">
        <v>147</v>
      </c>
      <c r="E1" s="200" t="s">
        <v>148</v>
      </c>
    </row>
    <row r="2" spans="1:6" ht="15" x14ac:dyDescent="0.25">
      <c r="A2" s="210" t="s">
        <v>112</v>
      </c>
      <c r="B2" s="210" t="s">
        <v>149</v>
      </c>
      <c r="C2" s="210" t="s">
        <v>150</v>
      </c>
      <c r="D2" s="210" t="s">
        <v>151</v>
      </c>
      <c r="E2" s="210" t="s">
        <v>152</v>
      </c>
      <c r="F2" s="210" t="s">
        <v>153</v>
      </c>
    </row>
    <row r="4" spans="1:6" x14ac:dyDescent="0.2">
      <c r="A4" t="s">
        <v>114</v>
      </c>
      <c r="B4" t="s">
        <v>154</v>
      </c>
      <c r="C4" t="s">
        <v>155</v>
      </c>
      <c r="D4" t="s">
        <v>156</v>
      </c>
      <c r="E4" t="s">
        <v>157</v>
      </c>
      <c r="F4" s="212">
        <v>69.72</v>
      </c>
    </row>
    <row r="5" spans="1:6" x14ac:dyDescent="0.2">
      <c r="A5" t="s">
        <v>114</v>
      </c>
      <c r="B5" t="s">
        <v>158</v>
      </c>
      <c r="C5" t="s">
        <v>159</v>
      </c>
      <c r="D5" t="s">
        <v>156</v>
      </c>
      <c r="E5" t="s">
        <v>157</v>
      </c>
      <c r="F5" s="212">
        <v>76.599999999999994</v>
      </c>
    </row>
    <row r="6" spans="1:6" x14ac:dyDescent="0.2">
      <c r="A6" t="s">
        <v>114</v>
      </c>
      <c r="B6" t="s">
        <v>160</v>
      </c>
      <c r="C6" t="s">
        <v>161</v>
      </c>
      <c r="D6" t="s">
        <v>156</v>
      </c>
      <c r="E6" t="s">
        <v>157</v>
      </c>
      <c r="F6" s="212">
        <v>73.16</v>
      </c>
    </row>
    <row r="7" spans="1:6" x14ac:dyDescent="0.2">
      <c r="A7" t="s">
        <v>114</v>
      </c>
      <c r="B7" t="s">
        <v>162</v>
      </c>
      <c r="C7" t="s">
        <v>163</v>
      </c>
      <c r="D7" t="s">
        <v>156</v>
      </c>
      <c r="E7" t="s">
        <v>157</v>
      </c>
      <c r="F7" s="212">
        <v>6</v>
      </c>
    </row>
    <row r="8" spans="1:6" x14ac:dyDescent="0.2">
      <c r="A8" t="s">
        <v>114</v>
      </c>
      <c r="B8" t="s">
        <v>164</v>
      </c>
      <c r="C8" t="s">
        <v>165</v>
      </c>
      <c r="D8" t="s">
        <v>156</v>
      </c>
      <c r="E8" t="s">
        <v>157</v>
      </c>
      <c r="F8" s="213">
        <v>10285</v>
      </c>
    </row>
    <row r="9" spans="1:6" x14ac:dyDescent="0.2">
      <c r="A9" t="s">
        <v>114</v>
      </c>
      <c r="B9" t="s">
        <v>166</v>
      </c>
      <c r="C9" t="s">
        <v>167</v>
      </c>
      <c r="D9" t="s">
        <v>156</v>
      </c>
      <c r="E9" t="s">
        <v>157</v>
      </c>
      <c r="F9" s="213">
        <v>1508900</v>
      </c>
    </row>
    <row r="10" spans="1:6" x14ac:dyDescent="0.2">
      <c r="A10" t="s">
        <v>114</v>
      </c>
      <c r="B10" t="s">
        <v>168</v>
      </c>
      <c r="C10" t="s">
        <v>169</v>
      </c>
      <c r="D10" t="s">
        <v>156</v>
      </c>
      <c r="E10" t="s">
        <v>157</v>
      </c>
      <c r="F10" s="214">
        <v>68.162237391477234</v>
      </c>
    </row>
    <row r="11" spans="1:6" x14ac:dyDescent="0.2">
      <c r="A11" t="s">
        <v>114</v>
      </c>
      <c r="B11" t="s">
        <v>170</v>
      </c>
      <c r="C11" t="s">
        <v>171</v>
      </c>
      <c r="D11" t="s">
        <v>172</v>
      </c>
      <c r="E11" t="s">
        <v>157</v>
      </c>
      <c r="F11" s="211" t="s">
        <v>173</v>
      </c>
    </row>
    <row r="12" spans="1:6" x14ac:dyDescent="0.2">
      <c r="A12" t="s">
        <v>114</v>
      </c>
      <c r="B12" t="s">
        <v>174</v>
      </c>
      <c r="C12" t="s">
        <v>175</v>
      </c>
      <c r="D12" t="s">
        <v>176</v>
      </c>
      <c r="E12" t="s">
        <v>157</v>
      </c>
      <c r="F12" s="215">
        <v>27.849449529215899</v>
      </c>
    </row>
    <row r="13" spans="1:6" x14ac:dyDescent="0.2">
      <c r="A13" t="s">
        <v>116</v>
      </c>
      <c r="B13" t="s">
        <v>154</v>
      </c>
      <c r="C13" t="s">
        <v>155</v>
      </c>
      <c r="D13" t="s">
        <v>156</v>
      </c>
      <c r="E13" t="s">
        <v>157</v>
      </c>
      <c r="F13" s="212">
        <v>76.14</v>
      </c>
    </row>
    <row r="14" spans="1:6" x14ac:dyDescent="0.2">
      <c r="A14" t="s">
        <v>116</v>
      </c>
      <c r="B14" t="s">
        <v>158</v>
      </c>
      <c r="C14" t="s">
        <v>159</v>
      </c>
      <c r="D14" t="s">
        <v>156</v>
      </c>
      <c r="E14" t="s">
        <v>157</v>
      </c>
      <c r="F14" s="212">
        <v>78.84</v>
      </c>
    </row>
    <row r="15" spans="1:6" x14ac:dyDescent="0.2">
      <c r="A15" t="s">
        <v>116</v>
      </c>
      <c r="B15" t="s">
        <v>160</v>
      </c>
      <c r="C15" t="s">
        <v>161</v>
      </c>
      <c r="D15" t="s">
        <v>156</v>
      </c>
      <c r="E15" t="s">
        <v>157</v>
      </c>
      <c r="F15" s="212">
        <v>77.490000000000009</v>
      </c>
    </row>
    <row r="16" spans="1:6" x14ac:dyDescent="0.2">
      <c r="A16" t="s">
        <v>116</v>
      </c>
      <c r="B16" t="s">
        <v>162</v>
      </c>
      <c r="C16" t="s">
        <v>163</v>
      </c>
      <c r="D16" t="s">
        <v>156</v>
      </c>
      <c r="E16" t="s">
        <v>157</v>
      </c>
      <c r="F16" s="212">
        <v>19.5</v>
      </c>
    </row>
    <row r="17" spans="1:6" x14ac:dyDescent="0.2">
      <c r="A17" t="s">
        <v>116</v>
      </c>
      <c r="B17" t="s">
        <v>164</v>
      </c>
      <c r="C17" t="s">
        <v>165</v>
      </c>
      <c r="D17" t="s">
        <v>156</v>
      </c>
      <c r="E17" t="s">
        <v>157</v>
      </c>
      <c r="F17" s="213">
        <v>10591</v>
      </c>
    </row>
    <row r="18" spans="1:6" x14ac:dyDescent="0.2">
      <c r="A18" t="s">
        <v>116</v>
      </c>
      <c r="B18" t="s">
        <v>166</v>
      </c>
      <c r="C18" t="s">
        <v>167</v>
      </c>
      <c r="D18" t="s">
        <v>156</v>
      </c>
      <c r="E18" t="s">
        <v>157</v>
      </c>
      <c r="F18" s="213">
        <v>3082287</v>
      </c>
    </row>
    <row r="19" spans="1:6" x14ac:dyDescent="0.2">
      <c r="A19" t="s">
        <v>116</v>
      </c>
      <c r="B19" t="s">
        <v>168</v>
      </c>
      <c r="C19" t="s">
        <v>169</v>
      </c>
      <c r="D19" t="s">
        <v>156</v>
      </c>
      <c r="E19" t="s">
        <v>157</v>
      </c>
      <c r="F19" s="214">
        <v>34.360849589931114</v>
      </c>
    </row>
    <row r="20" spans="1:6" x14ac:dyDescent="0.2">
      <c r="A20" t="s">
        <v>116</v>
      </c>
      <c r="B20" t="s">
        <v>170</v>
      </c>
      <c r="C20" t="s">
        <v>171</v>
      </c>
      <c r="D20" t="s">
        <v>172</v>
      </c>
      <c r="E20" t="s">
        <v>157</v>
      </c>
      <c r="F20" s="211" t="s">
        <v>173</v>
      </c>
    </row>
    <row r="21" spans="1:6" x14ac:dyDescent="0.2">
      <c r="A21" t="s">
        <v>116</v>
      </c>
      <c r="B21" t="s">
        <v>174</v>
      </c>
      <c r="C21" t="s">
        <v>175</v>
      </c>
      <c r="D21" t="s">
        <v>176</v>
      </c>
      <c r="E21" t="s">
        <v>157</v>
      </c>
      <c r="F21" s="215">
        <v>95.454594103550804</v>
      </c>
    </row>
    <row r="22" spans="1:6" x14ac:dyDescent="0.2">
      <c r="A22" t="s">
        <v>118</v>
      </c>
      <c r="B22" t="s">
        <v>154</v>
      </c>
      <c r="C22" t="s">
        <v>155</v>
      </c>
      <c r="D22" t="s">
        <v>156</v>
      </c>
      <c r="E22" t="s">
        <v>157</v>
      </c>
      <c r="F22" s="212">
        <v>82.11</v>
      </c>
    </row>
    <row r="23" spans="1:6" x14ac:dyDescent="0.2">
      <c r="A23" t="s">
        <v>118</v>
      </c>
      <c r="B23" t="s">
        <v>158</v>
      </c>
      <c r="C23" t="s">
        <v>159</v>
      </c>
      <c r="D23" t="s">
        <v>156</v>
      </c>
      <c r="E23" t="s">
        <v>157</v>
      </c>
      <c r="F23" s="212">
        <v>79.84</v>
      </c>
    </row>
    <row r="24" spans="1:6" x14ac:dyDescent="0.2">
      <c r="A24" t="s">
        <v>118</v>
      </c>
      <c r="B24" t="s">
        <v>160</v>
      </c>
      <c r="C24" t="s">
        <v>161</v>
      </c>
      <c r="D24" t="s">
        <v>156</v>
      </c>
      <c r="E24" t="s">
        <v>157</v>
      </c>
      <c r="F24" s="212">
        <v>80.974999999999994</v>
      </c>
    </row>
    <row r="25" spans="1:6" x14ac:dyDescent="0.2">
      <c r="A25" t="s">
        <v>118</v>
      </c>
      <c r="B25" t="s">
        <v>162</v>
      </c>
      <c r="C25" t="s">
        <v>163</v>
      </c>
      <c r="D25" t="s">
        <v>156</v>
      </c>
      <c r="E25" t="s">
        <v>157</v>
      </c>
      <c r="F25" s="212">
        <v>27.5</v>
      </c>
    </row>
    <row r="26" spans="1:6" x14ac:dyDescent="0.2">
      <c r="A26" t="s">
        <v>118</v>
      </c>
      <c r="B26" t="s">
        <v>164</v>
      </c>
      <c r="C26" t="s">
        <v>165</v>
      </c>
      <c r="D26" t="s">
        <v>156</v>
      </c>
      <c r="E26" t="s">
        <v>157</v>
      </c>
      <c r="F26" s="213">
        <v>1236</v>
      </c>
    </row>
    <row r="27" spans="1:6" x14ac:dyDescent="0.2">
      <c r="A27" t="s">
        <v>118</v>
      </c>
      <c r="B27" t="s">
        <v>166</v>
      </c>
      <c r="C27" t="s">
        <v>167</v>
      </c>
      <c r="D27" t="s">
        <v>156</v>
      </c>
      <c r="E27" t="s">
        <v>157</v>
      </c>
      <c r="F27" s="213">
        <v>528043</v>
      </c>
    </row>
    <row r="28" spans="1:6" x14ac:dyDescent="0.2">
      <c r="A28" t="s">
        <v>118</v>
      </c>
      <c r="B28" t="s">
        <v>168</v>
      </c>
      <c r="C28" t="s">
        <v>169</v>
      </c>
      <c r="D28" t="s">
        <v>156</v>
      </c>
      <c r="E28" t="s">
        <v>157</v>
      </c>
      <c r="F28" s="214">
        <v>23.407184642159823</v>
      </c>
    </row>
    <row r="29" spans="1:6" x14ac:dyDescent="0.2">
      <c r="A29" t="s">
        <v>118</v>
      </c>
      <c r="B29" t="s">
        <v>170</v>
      </c>
      <c r="C29" t="s">
        <v>171</v>
      </c>
      <c r="D29" t="s">
        <v>172</v>
      </c>
      <c r="E29" t="s">
        <v>157</v>
      </c>
      <c r="F29" s="211" t="s">
        <v>173</v>
      </c>
    </row>
    <row r="30" spans="1:6" x14ac:dyDescent="0.2">
      <c r="A30" t="s">
        <v>118</v>
      </c>
      <c r="B30" t="s">
        <v>174</v>
      </c>
      <c r="C30" t="s">
        <v>175</v>
      </c>
      <c r="D30" t="s">
        <v>176</v>
      </c>
      <c r="E30" t="s">
        <v>157</v>
      </c>
      <c r="F30" s="215">
        <v>12.1660468531585</v>
      </c>
    </row>
    <row r="31" spans="1:6" x14ac:dyDescent="0.2">
      <c r="A31" t="s">
        <v>120</v>
      </c>
      <c r="B31" t="s">
        <v>154</v>
      </c>
      <c r="C31" t="s">
        <v>155</v>
      </c>
      <c r="D31" t="s">
        <v>156</v>
      </c>
      <c r="E31" t="s">
        <v>157</v>
      </c>
      <c r="F31" s="212">
        <v>78.33</v>
      </c>
    </row>
    <row r="32" spans="1:6" x14ac:dyDescent="0.2">
      <c r="A32" t="s">
        <v>120</v>
      </c>
      <c r="B32" t="s">
        <v>158</v>
      </c>
      <c r="C32" t="s">
        <v>159</v>
      </c>
      <c r="D32" t="s">
        <v>156</v>
      </c>
      <c r="E32" t="s">
        <v>157</v>
      </c>
      <c r="F32" s="212">
        <v>80.92</v>
      </c>
    </row>
    <row r="33" spans="1:6" x14ac:dyDescent="0.2">
      <c r="A33" t="s">
        <v>120</v>
      </c>
      <c r="B33" t="s">
        <v>160</v>
      </c>
      <c r="C33" t="s">
        <v>161</v>
      </c>
      <c r="D33" t="s">
        <v>156</v>
      </c>
      <c r="E33" t="s">
        <v>157</v>
      </c>
      <c r="F33" s="212">
        <v>79.625</v>
      </c>
    </row>
    <row r="34" spans="1:6" x14ac:dyDescent="0.2">
      <c r="A34" t="s">
        <v>120</v>
      </c>
      <c r="B34" t="s">
        <v>162</v>
      </c>
      <c r="C34" t="s">
        <v>163</v>
      </c>
      <c r="D34" t="s">
        <v>156</v>
      </c>
      <c r="E34" t="s">
        <v>157</v>
      </c>
      <c r="F34" s="212">
        <v>35</v>
      </c>
    </row>
    <row r="35" spans="1:6" x14ac:dyDescent="0.2">
      <c r="A35" t="s">
        <v>120</v>
      </c>
      <c r="B35" t="s">
        <v>164</v>
      </c>
      <c r="C35" t="s">
        <v>165</v>
      </c>
      <c r="D35" t="s">
        <v>156</v>
      </c>
      <c r="E35" t="s">
        <v>157</v>
      </c>
      <c r="F35" s="213">
        <v>9308</v>
      </c>
    </row>
    <row r="36" spans="1:6" x14ac:dyDescent="0.2">
      <c r="A36" t="s">
        <v>120</v>
      </c>
      <c r="B36" t="s">
        <v>166</v>
      </c>
      <c r="C36" t="s">
        <v>167</v>
      </c>
      <c r="D36" t="s">
        <v>156</v>
      </c>
      <c r="E36" t="s">
        <v>157</v>
      </c>
      <c r="F36" s="213">
        <v>1499056</v>
      </c>
    </row>
    <row r="37" spans="1:6" x14ac:dyDescent="0.2">
      <c r="A37" t="s">
        <v>120</v>
      </c>
      <c r="B37" t="s">
        <v>168</v>
      </c>
      <c r="C37" t="s">
        <v>169</v>
      </c>
      <c r="D37" t="s">
        <v>156</v>
      </c>
      <c r="E37" t="s">
        <v>157</v>
      </c>
      <c r="F37" s="214">
        <v>62.092410156792006</v>
      </c>
    </row>
    <row r="38" spans="1:6" x14ac:dyDescent="0.2">
      <c r="A38" t="s">
        <v>120</v>
      </c>
      <c r="B38" t="s">
        <v>170</v>
      </c>
      <c r="C38" t="s">
        <v>171</v>
      </c>
      <c r="D38" t="s">
        <v>172</v>
      </c>
      <c r="E38" t="s">
        <v>157</v>
      </c>
      <c r="F38" s="211" t="s">
        <v>173</v>
      </c>
    </row>
    <row r="39" spans="1:6" x14ac:dyDescent="0.2">
      <c r="A39" t="s">
        <v>120</v>
      </c>
      <c r="B39" t="s">
        <v>174</v>
      </c>
      <c r="C39" t="s">
        <v>175</v>
      </c>
      <c r="D39" t="s">
        <v>176</v>
      </c>
      <c r="E39" t="s">
        <v>157</v>
      </c>
      <c r="F39" s="215">
        <v>49.0706295680897</v>
      </c>
    </row>
    <row r="40" spans="1:6" x14ac:dyDescent="0.2">
      <c r="A40" t="s">
        <v>122</v>
      </c>
      <c r="B40" t="s">
        <v>154</v>
      </c>
      <c r="C40" t="s">
        <v>155</v>
      </c>
      <c r="D40" t="s">
        <v>156</v>
      </c>
      <c r="E40" t="s">
        <v>157</v>
      </c>
      <c r="F40" s="212">
        <v>72.569999999999993</v>
      </c>
    </row>
    <row r="41" spans="1:6" x14ac:dyDescent="0.2">
      <c r="A41" t="s">
        <v>122</v>
      </c>
      <c r="B41" t="s">
        <v>158</v>
      </c>
      <c r="C41" t="s">
        <v>159</v>
      </c>
      <c r="D41" t="s">
        <v>156</v>
      </c>
      <c r="E41" t="s">
        <v>157</v>
      </c>
      <c r="F41" s="212">
        <v>82.2</v>
      </c>
    </row>
    <row r="42" spans="1:6" x14ac:dyDescent="0.2">
      <c r="A42" t="s">
        <v>122</v>
      </c>
      <c r="B42" t="s">
        <v>160</v>
      </c>
      <c r="C42" t="s">
        <v>161</v>
      </c>
      <c r="D42" t="s">
        <v>156</v>
      </c>
      <c r="E42" t="s">
        <v>157</v>
      </c>
      <c r="F42" s="212">
        <v>77.384999999999991</v>
      </c>
    </row>
    <row r="43" spans="1:6" x14ac:dyDescent="0.2">
      <c r="A43" t="s">
        <v>122</v>
      </c>
      <c r="B43" t="s">
        <v>162</v>
      </c>
      <c r="C43" t="s">
        <v>163</v>
      </c>
      <c r="D43" t="s">
        <v>156</v>
      </c>
      <c r="E43" t="s">
        <v>157</v>
      </c>
      <c r="F43" s="212">
        <v>24.5</v>
      </c>
    </row>
    <row r="44" spans="1:6" x14ac:dyDescent="0.2">
      <c r="A44" t="s">
        <v>122</v>
      </c>
      <c r="B44" t="s">
        <v>164</v>
      </c>
      <c r="C44" t="s">
        <v>165</v>
      </c>
      <c r="D44" t="s">
        <v>156</v>
      </c>
      <c r="E44" t="s">
        <v>157</v>
      </c>
      <c r="F44" s="213">
        <v>227</v>
      </c>
    </row>
    <row r="45" spans="1:6" x14ac:dyDescent="0.2">
      <c r="A45" t="s">
        <v>122</v>
      </c>
      <c r="B45" t="s">
        <v>166</v>
      </c>
      <c r="C45" t="s">
        <v>167</v>
      </c>
      <c r="D45" t="s">
        <v>156</v>
      </c>
      <c r="E45" t="s">
        <v>157</v>
      </c>
      <c r="F45" s="213">
        <v>100848</v>
      </c>
    </row>
    <row r="46" spans="1:6" x14ac:dyDescent="0.2">
      <c r="A46" t="s">
        <v>122</v>
      </c>
      <c r="B46" t="s">
        <v>168</v>
      </c>
      <c r="C46" t="s">
        <v>169</v>
      </c>
      <c r="D46" t="s">
        <v>156</v>
      </c>
      <c r="E46" t="s">
        <v>157</v>
      </c>
      <c r="F46" s="214">
        <v>22.509122640012695</v>
      </c>
    </row>
    <row r="47" spans="1:6" x14ac:dyDescent="0.2">
      <c r="A47" t="s">
        <v>122</v>
      </c>
      <c r="B47" t="s">
        <v>170</v>
      </c>
      <c r="C47" t="s">
        <v>171</v>
      </c>
      <c r="D47" t="s">
        <v>172</v>
      </c>
      <c r="E47" t="s">
        <v>157</v>
      </c>
      <c r="F47" s="211" t="s">
        <v>173</v>
      </c>
    </row>
    <row r="48" spans="1:6" x14ac:dyDescent="0.2">
      <c r="A48" t="s">
        <v>122</v>
      </c>
      <c r="B48" t="s">
        <v>174</v>
      </c>
      <c r="C48" t="s">
        <v>175</v>
      </c>
      <c r="D48" t="s">
        <v>176</v>
      </c>
      <c r="E48" t="s">
        <v>157</v>
      </c>
      <c r="F48" s="215">
        <v>2.9098685944812801</v>
      </c>
    </row>
    <row r="49" spans="1:6" x14ac:dyDescent="0.2">
      <c r="A49" t="s">
        <v>124</v>
      </c>
      <c r="B49" t="s">
        <v>154</v>
      </c>
      <c r="C49" t="s">
        <v>155</v>
      </c>
      <c r="D49" t="s">
        <v>156</v>
      </c>
      <c r="E49" t="s">
        <v>157</v>
      </c>
      <c r="F49" s="212">
        <v>81.41</v>
      </c>
    </row>
    <row r="50" spans="1:6" x14ac:dyDescent="0.2">
      <c r="A50" t="s">
        <v>124</v>
      </c>
      <c r="B50" t="s">
        <v>158</v>
      </c>
      <c r="C50" t="s">
        <v>159</v>
      </c>
      <c r="D50" t="s">
        <v>156</v>
      </c>
      <c r="E50" t="s">
        <v>157</v>
      </c>
      <c r="F50" s="212">
        <v>81.39</v>
      </c>
    </row>
    <row r="51" spans="1:6" x14ac:dyDescent="0.2">
      <c r="A51" t="s">
        <v>124</v>
      </c>
      <c r="B51" t="s">
        <v>160</v>
      </c>
      <c r="C51" t="s">
        <v>161</v>
      </c>
      <c r="D51" t="s">
        <v>156</v>
      </c>
      <c r="E51" t="s">
        <v>157</v>
      </c>
      <c r="F51" s="212">
        <v>81.400000000000006</v>
      </c>
    </row>
    <row r="52" spans="1:6" x14ac:dyDescent="0.2">
      <c r="A52" t="s">
        <v>124</v>
      </c>
      <c r="B52" t="s">
        <v>162</v>
      </c>
      <c r="C52" t="s">
        <v>163</v>
      </c>
      <c r="D52" t="s">
        <v>156</v>
      </c>
      <c r="E52" t="s">
        <v>157</v>
      </c>
      <c r="F52" s="212">
        <v>40.5</v>
      </c>
    </row>
    <row r="53" spans="1:6" x14ac:dyDescent="0.2">
      <c r="A53" t="s">
        <v>124</v>
      </c>
      <c r="B53" t="s">
        <v>164</v>
      </c>
      <c r="C53" t="s">
        <v>165</v>
      </c>
      <c r="D53" t="s">
        <v>156</v>
      </c>
      <c r="E53" t="s">
        <v>157</v>
      </c>
      <c r="F53" s="213">
        <v>6992</v>
      </c>
    </row>
    <row r="54" spans="1:6" x14ac:dyDescent="0.2">
      <c r="A54" t="s">
        <v>124</v>
      </c>
      <c r="B54" t="s">
        <v>166</v>
      </c>
      <c r="C54" t="s">
        <v>167</v>
      </c>
      <c r="D54" t="s">
        <v>156</v>
      </c>
      <c r="E54" t="s">
        <v>157</v>
      </c>
      <c r="F54" s="213">
        <v>2061472</v>
      </c>
    </row>
    <row r="55" spans="1:6" x14ac:dyDescent="0.2">
      <c r="A55" t="s">
        <v>124</v>
      </c>
      <c r="B55" t="s">
        <v>168</v>
      </c>
      <c r="C55" t="s">
        <v>169</v>
      </c>
      <c r="D55" t="s">
        <v>156</v>
      </c>
      <c r="E55" t="s">
        <v>157</v>
      </c>
      <c r="F55" s="214">
        <v>33.917511370515825</v>
      </c>
    </row>
    <row r="56" spans="1:6" x14ac:dyDescent="0.2">
      <c r="A56" t="s">
        <v>124</v>
      </c>
      <c r="B56" t="s">
        <v>170</v>
      </c>
      <c r="C56" t="s">
        <v>171</v>
      </c>
      <c r="D56" t="s">
        <v>172</v>
      </c>
      <c r="E56" t="s">
        <v>157</v>
      </c>
      <c r="F56" s="211" t="s">
        <v>173</v>
      </c>
    </row>
    <row r="57" spans="1:6" x14ac:dyDescent="0.2">
      <c r="A57" t="s">
        <v>124</v>
      </c>
      <c r="B57" t="s">
        <v>174</v>
      </c>
      <c r="C57" t="s">
        <v>175</v>
      </c>
      <c r="D57" t="s">
        <v>176</v>
      </c>
      <c r="E57" t="s">
        <v>157</v>
      </c>
      <c r="F57" s="215">
        <v>65.236250473582899</v>
      </c>
    </row>
    <row r="58" spans="1:6" x14ac:dyDescent="0.2">
      <c r="A58" t="s">
        <v>126</v>
      </c>
      <c r="B58" t="s">
        <v>154</v>
      </c>
      <c r="C58" t="s">
        <v>155</v>
      </c>
      <c r="D58" t="s">
        <v>156</v>
      </c>
      <c r="E58" t="s">
        <v>157</v>
      </c>
      <c r="F58" s="212">
        <v>83.57</v>
      </c>
    </row>
    <row r="59" spans="1:6" x14ac:dyDescent="0.2">
      <c r="A59" t="s">
        <v>126</v>
      </c>
      <c r="B59" t="s">
        <v>158</v>
      </c>
      <c r="C59" t="s">
        <v>159</v>
      </c>
      <c r="D59" t="s">
        <v>156</v>
      </c>
      <c r="E59" t="s">
        <v>157</v>
      </c>
      <c r="F59" s="212">
        <v>82.21</v>
      </c>
    </row>
    <row r="60" spans="1:6" x14ac:dyDescent="0.2">
      <c r="A60" t="s">
        <v>126</v>
      </c>
      <c r="B60" t="s">
        <v>160</v>
      </c>
      <c r="C60" t="s">
        <v>161</v>
      </c>
      <c r="D60" t="s">
        <v>156</v>
      </c>
      <c r="E60" t="s">
        <v>157</v>
      </c>
      <c r="F60" s="212">
        <v>82.889999999999986</v>
      </c>
    </row>
    <row r="61" spans="1:6" x14ac:dyDescent="0.2">
      <c r="A61" t="s">
        <v>126</v>
      </c>
      <c r="B61" t="s">
        <v>162</v>
      </c>
      <c r="C61" t="s">
        <v>163</v>
      </c>
      <c r="D61" t="s">
        <v>156</v>
      </c>
      <c r="E61" t="s">
        <v>157</v>
      </c>
      <c r="F61" s="212">
        <v>36.5</v>
      </c>
    </row>
    <row r="62" spans="1:6" x14ac:dyDescent="0.2">
      <c r="A62" t="s">
        <v>126</v>
      </c>
      <c r="B62" t="s">
        <v>164</v>
      </c>
      <c r="C62" t="s">
        <v>165</v>
      </c>
      <c r="D62" t="s">
        <v>156</v>
      </c>
      <c r="E62" t="s">
        <v>157</v>
      </c>
      <c r="F62" s="213">
        <v>754</v>
      </c>
    </row>
    <row r="63" spans="1:6" x14ac:dyDescent="0.2">
      <c r="A63" t="s">
        <v>126</v>
      </c>
      <c r="B63" t="s">
        <v>166</v>
      </c>
      <c r="C63" t="s">
        <v>167</v>
      </c>
      <c r="D63" t="s">
        <v>156</v>
      </c>
      <c r="E63" t="s">
        <v>157</v>
      </c>
      <c r="F63" s="213">
        <v>310725</v>
      </c>
    </row>
    <row r="64" spans="1:6" x14ac:dyDescent="0.2">
      <c r="A64" t="s">
        <v>126</v>
      </c>
      <c r="B64" t="s">
        <v>168</v>
      </c>
      <c r="C64" t="s">
        <v>169</v>
      </c>
      <c r="D64" t="s">
        <v>156</v>
      </c>
      <c r="E64" t="s">
        <v>157</v>
      </c>
      <c r="F64" s="214">
        <v>24.265829913911016</v>
      </c>
    </row>
    <row r="65" spans="1:6" x14ac:dyDescent="0.2">
      <c r="A65" t="s">
        <v>126</v>
      </c>
      <c r="B65" t="s">
        <v>170</v>
      </c>
      <c r="C65" t="s">
        <v>171</v>
      </c>
      <c r="D65" t="s">
        <v>172</v>
      </c>
      <c r="E65" t="s">
        <v>157</v>
      </c>
      <c r="F65" s="211" t="s">
        <v>173</v>
      </c>
    </row>
    <row r="66" spans="1:6" x14ac:dyDescent="0.2">
      <c r="A66" t="s">
        <v>126</v>
      </c>
      <c r="B66" t="s">
        <v>174</v>
      </c>
      <c r="C66" t="s">
        <v>175</v>
      </c>
      <c r="D66" t="s">
        <v>176</v>
      </c>
      <c r="E66" t="s">
        <v>157</v>
      </c>
      <c r="F66" s="215">
        <v>5.17844985008285</v>
      </c>
    </row>
    <row r="67" spans="1:6" x14ac:dyDescent="0.2">
      <c r="A67" t="s">
        <v>128</v>
      </c>
      <c r="B67" t="s">
        <v>154</v>
      </c>
      <c r="C67" t="s">
        <v>155</v>
      </c>
      <c r="D67" t="s">
        <v>156</v>
      </c>
      <c r="E67" t="s">
        <v>157</v>
      </c>
      <c r="F67" s="212">
        <v>67.13</v>
      </c>
    </row>
    <row r="68" spans="1:6" x14ac:dyDescent="0.2">
      <c r="A68" t="s">
        <v>128</v>
      </c>
      <c r="B68" t="s">
        <v>158</v>
      </c>
      <c r="C68" t="s">
        <v>159</v>
      </c>
      <c r="D68" t="s">
        <v>156</v>
      </c>
      <c r="E68" t="s">
        <v>157</v>
      </c>
      <c r="F68" s="212">
        <v>77.77</v>
      </c>
    </row>
    <row r="69" spans="1:6" x14ac:dyDescent="0.2">
      <c r="A69" t="s">
        <v>128</v>
      </c>
      <c r="B69" t="s">
        <v>160</v>
      </c>
      <c r="C69" t="s">
        <v>161</v>
      </c>
      <c r="D69" t="s">
        <v>156</v>
      </c>
      <c r="E69" t="s">
        <v>157</v>
      </c>
      <c r="F69" s="212">
        <v>72.449999999999989</v>
      </c>
    </row>
    <row r="70" spans="1:6" x14ac:dyDescent="0.2">
      <c r="A70" t="s">
        <v>128</v>
      </c>
      <c r="B70" t="s">
        <v>162</v>
      </c>
      <c r="C70" t="s">
        <v>163</v>
      </c>
      <c r="D70" t="s">
        <v>156</v>
      </c>
      <c r="E70" t="s">
        <v>157</v>
      </c>
      <c r="F70" s="212">
        <v>7</v>
      </c>
    </row>
    <row r="71" spans="1:6" x14ac:dyDescent="0.2">
      <c r="A71" t="s">
        <v>128</v>
      </c>
      <c r="B71" t="s">
        <v>164</v>
      </c>
      <c r="C71" t="s">
        <v>165</v>
      </c>
      <c r="D71" t="s">
        <v>156</v>
      </c>
      <c r="E71" t="s">
        <v>157</v>
      </c>
      <c r="F71" s="213">
        <v>1465</v>
      </c>
    </row>
    <row r="72" spans="1:6" x14ac:dyDescent="0.2">
      <c r="A72" t="s">
        <v>128</v>
      </c>
      <c r="B72" t="s">
        <v>166</v>
      </c>
      <c r="C72" t="s">
        <v>167</v>
      </c>
      <c r="D72" t="s">
        <v>156</v>
      </c>
      <c r="E72" t="s">
        <v>157</v>
      </c>
      <c r="F72" s="213">
        <v>289054</v>
      </c>
    </row>
    <row r="73" spans="1:6" x14ac:dyDescent="0.2">
      <c r="A73" t="s">
        <v>128</v>
      </c>
      <c r="B73" t="s">
        <v>168</v>
      </c>
      <c r="C73" t="s">
        <v>169</v>
      </c>
      <c r="D73" t="s">
        <v>156</v>
      </c>
      <c r="E73" t="s">
        <v>157</v>
      </c>
      <c r="F73" s="214">
        <v>50.682571422640748</v>
      </c>
    </row>
    <row r="74" spans="1:6" x14ac:dyDescent="0.2">
      <c r="A74" t="s">
        <v>128</v>
      </c>
      <c r="B74" t="s">
        <v>170</v>
      </c>
      <c r="C74" t="s">
        <v>171</v>
      </c>
      <c r="D74" t="s">
        <v>172</v>
      </c>
      <c r="E74" t="s">
        <v>157</v>
      </c>
      <c r="F74" s="211" t="s">
        <v>173</v>
      </c>
    </row>
    <row r="75" spans="1:6" x14ac:dyDescent="0.2">
      <c r="A75" t="s">
        <v>128</v>
      </c>
      <c r="B75" t="s">
        <v>174</v>
      </c>
      <c r="C75" t="s">
        <v>175</v>
      </c>
      <c r="D75" t="s">
        <v>176</v>
      </c>
      <c r="E75" t="s">
        <v>157</v>
      </c>
      <c r="F75" s="215">
        <v>5.1641442057692704</v>
      </c>
    </row>
    <row r="76" spans="1:6" x14ac:dyDescent="0.2">
      <c r="A76" t="s">
        <v>130</v>
      </c>
      <c r="B76" t="s">
        <v>154</v>
      </c>
      <c r="C76" t="s">
        <v>155</v>
      </c>
      <c r="D76" t="s">
        <v>156</v>
      </c>
      <c r="E76" t="s">
        <v>157</v>
      </c>
      <c r="F76" s="212">
        <v>69.150000000000006</v>
      </c>
    </row>
    <row r="77" spans="1:6" x14ac:dyDescent="0.2">
      <c r="A77" t="s">
        <v>130</v>
      </c>
      <c r="B77" t="s">
        <v>158</v>
      </c>
      <c r="C77" t="s">
        <v>159</v>
      </c>
      <c r="D77" t="s">
        <v>156</v>
      </c>
      <c r="E77" t="s">
        <v>157</v>
      </c>
      <c r="F77" s="212">
        <v>79.2</v>
      </c>
    </row>
    <row r="78" spans="1:6" x14ac:dyDescent="0.2">
      <c r="A78" t="s">
        <v>130</v>
      </c>
      <c r="B78" t="s">
        <v>160</v>
      </c>
      <c r="C78" t="s">
        <v>161</v>
      </c>
      <c r="D78" t="s">
        <v>156</v>
      </c>
      <c r="E78" t="s">
        <v>157</v>
      </c>
      <c r="F78" s="212">
        <v>74.175000000000011</v>
      </c>
    </row>
    <row r="79" spans="1:6" x14ac:dyDescent="0.2">
      <c r="A79" t="s">
        <v>130</v>
      </c>
      <c r="B79" t="s">
        <v>162</v>
      </c>
      <c r="C79" t="s">
        <v>163</v>
      </c>
      <c r="D79" t="s">
        <v>156</v>
      </c>
      <c r="E79" t="s">
        <v>157</v>
      </c>
      <c r="F79" s="212">
        <v>14</v>
      </c>
    </row>
    <row r="80" spans="1:6" x14ac:dyDescent="0.2">
      <c r="A80" t="s">
        <v>130</v>
      </c>
      <c r="B80" t="s">
        <v>164</v>
      </c>
      <c r="C80" t="s">
        <v>165</v>
      </c>
      <c r="D80" t="s">
        <v>156</v>
      </c>
      <c r="E80" t="s">
        <v>157</v>
      </c>
      <c r="F80" s="213">
        <v>14082</v>
      </c>
    </row>
    <row r="81" spans="1:6" x14ac:dyDescent="0.2">
      <c r="A81" t="s">
        <v>130</v>
      </c>
      <c r="B81" t="s">
        <v>166</v>
      </c>
      <c r="C81" t="s">
        <v>167</v>
      </c>
      <c r="D81" t="s">
        <v>156</v>
      </c>
      <c r="E81" t="s">
        <v>157</v>
      </c>
      <c r="F81" s="213">
        <v>4520210</v>
      </c>
    </row>
    <row r="82" spans="1:6" x14ac:dyDescent="0.2">
      <c r="A82" t="s">
        <v>130</v>
      </c>
      <c r="B82" t="s">
        <v>168</v>
      </c>
      <c r="C82" t="s">
        <v>169</v>
      </c>
      <c r="D82" t="s">
        <v>156</v>
      </c>
      <c r="E82" t="s">
        <v>157</v>
      </c>
      <c r="F82" s="214">
        <v>31.153419863236444</v>
      </c>
    </row>
    <row r="83" spans="1:6" x14ac:dyDescent="0.2">
      <c r="A83" t="s">
        <v>130</v>
      </c>
      <c r="B83" t="s">
        <v>170</v>
      </c>
      <c r="C83" t="s">
        <v>171</v>
      </c>
      <c r="D83" t="s">
        <v>172</v>
      </c>
      <c r="E83" t="s">
        <v>157</v>
      </c>
      <c r="F83" s="211" t="s">
        <v>173</v>
      </c>
    </row>
    <row r="84" spans="1:6" x14ac:dyDescent="0.2">
      <c r="A84" t="s">
        <v>130</v>
      </c>
      <c r="B84" t="s">
        <v>174</v>
      </c>
      <c r="C84" t="s">
        <v>175</v>
      </c>
      <c r="D84" t="s">
        <v>176</v>
      </c>
      <c r="E84" t="s">
        <v>157</v>
      </c>
      <c r="F84" s="215">
        <v>107.434052353943</v>
      </c>
    </row>
    <row r="85" spans="1:6" x14ac:dyDescent="0.2">
      <c r="A85" t="s">
        <v>132</v>
      </c>
      <c r="B85" t="s">
        <v>154</v>
      </c>
      <c r="C85" t="s">
        <v>155</v>
      </c>
      <c r="D85" t="s">
        <v>156</v>
      </c>
      <c r="E85" t="s">
        <v>157</v>
      </c>
      <c r="F85" s="212">
        <v>68.608289936219194</v>
      </c>
    </row>
    <row r="86" spans="1:6" x14ac:dyDescent="0.2">
      <c r="A86" t="s">
        <v>132</v>
      </c>
      <c r="B86" t="s">
        <v>158</v>
      </c>
      <c r="C86" t="s">
        <v>159</v>
      </c>
      <c r="D86" t="s">
        <v>156</v>
      </c>
      <c r="E86" t="s">
        <v>157</v>
      </c>
      <c r="F86" s="212">
        <v>73.013831234231958</v>
      </c>
    </row>
    <row r="87" spans="1:6" x14ac:dyDescent="0.2">
      <c r="A87" t="s">
        <v>132</v>
      </c>
      <c r="B87" t="s">
        <v>160</v>
      </c>
      <c r="C87" t="s">
        <v>161</v>
      </c>
      <c r="D87" t="s">
        <v>156</v>
      </c>
      <c r="E87" t="s">
        <v>157</v>
      </c>
      <c r="F87" s="212">
        <v>70.811060585225576</v>
      </c>
    </row>
    <row r="88" spans="1:6" x14ac:dyDescent="0.2">
      <c r="A88" t="s">
        <v>132</v>
      </c>
      <c r="B88" t="s">
        <v>162</v>
      </c>
      <c r="C88" t="s">
        <v>163</v>
      </c>
      <c r="D88" t="s">
        <v>156</v>
      </c>
      <c r="E88" t="s">
        <v>157</v>
      </c>
      <c r="F88" s="212">
        <v>-5.4999999999999991</v>
      </c>
    </row>
    <row r="89" spans="1:6" x14ac:dyDescent="0.2">
      <c r="A89" t="s">
        <v>132</v>
      </c>
      <c r="B89" t="s">
        <v>164</v>
      </c>
      <c r="C89" t="s">
        <v>165</v>
      </c>
      <c r="D89" t="s">
        <v>156</v>
      </c>
      <c r="E89" t="s">
        <v>157</v>
      </c>
      <c r="F89" s="213">
        <v>4988</v>
      </c>
    </row>
    <row r="90" spans="1:6" x14ac:dyDescent="0.2">
      <c r="A90" t="s">
        <v>132</v>
      </c>
      <c r="B90" t="s">
        <v>166</v>
      </c>
      <c r="C90" t="s">
        <v>167</v>
      </c>
      <c r="D90" t="s">
        <v>156</v>
      </c>
      <c r="E90" t="s">
        <v>157</v>
      </c>
      <c r="F90" s="213">
        <v>1000666.494943631</v>
      </c>
    </row>
    <row r="91" spans="1:6" x14ac:dyDescent="0.2">
      <c r="A91" t="s">
        <v>132</v>
      </c>
      <c r="B91" t="s">
        <v>168</v>
      </c>
      <c r="C91" t="s">
        <v>169</v>
      </c>
      <c r="D91" t="s">
        <v>156</v>
      </c>
      <c r="E91" t="s">
        <v>157</v>
      </c>
      <c r="F91" s="214">
        <v>49.846777374923313</v>
      </c>
    </row>
    <row r="92" spans="1:6" x14ac:dyDescent="0.2">
      <c r="A92" t="s">
        <v>132</v>
      </c>
      <c r="B92" t="s">
        <v>170</v>
      </c>
      <c r="C92" t="s">
        <v>171</v>
      </c>
      <c r="D92" t="s">
        <v>172</v>
      </c>
      <c r="E92" t="s">
        <v>157</v>
      </c>
      <c r="F92" s="211" t="s">
        <v>173</v>
      </c>
    </row>
    <row r="93" spans="1:6" x14ac:dyDescent="0.2">
      <c r="A93" t="s">
        <v>132</v>
      </c>
      <c r="B93" t="s">
        <v>174</v>
      </c>
      <c r="C93" t="s">
        <v>175</v>
      </c>
      <c r="D93" t="s">
        <v>176</v>
      </c>
      <c r="E93" t="s">
        <v>157</v>
      </c>
      <c r="F93" s="215">
        <v>18.8398367043748</v>
      </c>
    </row>
    <row r="94" spans="1:6" x14ac:dyDescent="0.2">
      <c r="A94" t="s">
        <v>134</v>
      </c>
      <c r="B94" t="s">
        <v>154</v>
      </c>
      <c r="C94" t="s">
        <v>155</v>
      </c>
      <c r="D94" t="s">
        <v>156</v>
      </c>
      <c r="E94" t="s">
        <v>157</v>
      </c>
      <c r="F94" s="212">
        <v>71.06</v>
      </c>
    </row>
    <row r="95" spans="1:6" x14ac:dyDescent="0.2">
      <c r="A95" t="s">
        <v>134</v>
      </c>
      <c r="B95" t="s">
        <v>158</v>
      </c>
      <c r="C95" t="s">
        <v>159</v>
      </c>
      <c r="D95" t="s">
        <v>156</v>
      </c>
      <c r="E95" t="s">
        <v>157</v>
      </c>
      <c r="F95" s="212">
        <v>81.52</v>
      </c>
    </row>
    <row r="96" spans="1:6" x14ac:dyDescent="0.2">
      <c r="A96" t="s">
        <v>134</v>
      </c>
      <c r="B96" t="s">
        <v>160</v>
      </c>
      <c r="C96" t="s">
        <v>161</v>
      </c>
      <c r="D96" t="s">
        <v>156</v>
      </c>
      <c r="E96" t="s">
        <v>157</v>
      </c>
      <c r="F96" s="212">
        <v>76.289999999999992</v>
      </c>
    </row>
    <row r="97" spans="1:6" x14ac:dyDescent="0.2">
      <c r="A97" t="s">
        <v>134</v>
      </c>
      <c r="B97" t="s">
        <v>162</v>
      </c>
      <c r="C97" t="s">
        <v>163</v>
      </c>
      <c r="D97" t="s">
        <v>156</v>
      </c>
      <c r="E97" t="s">
        <v>157</v>
      </c>
      <c r="F97" s="212">
        <v>19.5</v>
      </c>
    </row>
    <row r="98" spans="1:6" x14ac:dyDescent="0.2">
      <c r="A98" t="s">
        <v>134</v>
      </c>
      <c r="B98" t="s">
        <v>164</v>
      </c>
      <c r="C98" t="s">
        <v>165</v>
      </c>
      <c r="D98" t="s">
        <v>156</v>
      </c>
      <c r="E98" t="s">
        <v>157</v>
      </c>
      <c r="F98" s="213">
        <v>4670</v>
      </c>
    </row>
    <row r="99" spans="1:6" x14ac:dyDescent="0.2">
      <c r="A99" t="s">
        <v>134</v>
      </c>
      <c r="B99" t="s">
        <v>166</v>
      </c>
      <c r="C99" t="s">
        <v>167</v>
      </c>
      <c r="D99" t="s">
        <v>156</v>
      </c>
      <c r="E99" t="s">
        <v>157</v>
      </c>
      <c r="F99" s="213">
        <v>717408</v>
      </c>
    </row>
    <row r="100" spans="1:6" x14ac:dyDescent="0.2">
      <c r="A100" t="s">
        <v>134</v>
      </c>
      <c r="B100" t="s">
        <v>168</v>
      </c>
      <c r="C100" t="s">
        <v>169</v>
      </c>
      <c r="D100" t="s">
        <v>156</v>
      </c>
      <c r="E100" t="s">
        <v>157</v>
      </c>
      <c r="F100" s="214">
        <v>65.095454748204645</v>
      </c>
    </row>
    <row r="101" spans="1:6" x14ac:dyDescent="0.2">
      <c r="A101" t="s">
        <v>134</v>
      </c>
      <c r="B101" t="s">
        <v>170</v>
      </c>
      <c r="C101" t="s">
        <v>171</v>
      </c>
      <c r="D101" t="s">
        <v>172</v>
      </c>
      <c r="E101" t="s">
        <v>157</v>
      </c>
      <c r="F101" s="211" t="s">
        <v>173</v>
      </c>
    </row>
    <row r="102" spans="1:6" x14ac:dyDescent="0.2">
      <c r="A102" t="s">
        <v>134</v>
      </c>
      <c r="B102" t="s">
        <v>174</v>
      </c>
      <c r="C102" t="s">
        <v>175</v>
      </c>
      <c r="D102" t="s">
        <v>176</v>
      </c>
      <c r="E102" t="s">
        <v>157</v>
      </c>
      <c r="F102" s="215">
        <v>15.1871574214207</v>
      </c>
    </row>
    <row r="103" spans="1:6" x14ac:dyDescent="0.2">
      <c r="A103" t="s">
        <v>136</v>
      </c>
      <c r="B103" t="s">
        <v>154</v>
      </c>
      <c r="C103" t="s">
        <v>155</v>
      </c>
      <c r="D103" t="s">
        <v>156</v>
      </c>
      <c r="E103" t="s">
        <v>157</v>
      </c>
      <c r="F103" s="212">
        <v>74.88</v>
      </c>
    </row>
    <row r="104" spans="1:6" x14ac:dyDescent="0.2">
      <c r="A104" t="s">
        <v>136</v>
      </c>
      <c r="B104" t="s">
        <v>158</v>
      </c>
      <c r="C104" t="s">
        <v>159</v>
      </c>
      <c r="D104" t="s">
        <v>156</v>
      </c>
      <c r="E104" t="s">
        <v>157</v>
      </c>
      <c r="F104" s="212">
        <v>70.64</v>
      </c>
    </row>
    <row r="105" spans="1:6" x14ac:dyDescent="0.2">
      <c r="A105" t="s">
        <v>136</v>
      </c>
      <c r="B105" t="s">
        <v>160</v>
      </c>
      <c r="C105" t="s">
        <v>161</v>
      </c>
      <c r="D105" t="s">
        <v>156</v>
      </c>
      <c r="E105" t="s">
        <v>157</v>
      </c>
      <c r="F105" s="212">
        <v>72.759999999999991</v>
      </c>
    </row>
    <row r="106" spans="1:6" x14ac:dyDescent="0.2">
      <c r="A106" t="s">
        <v>136</v>
      </c>
      <c r="B106" t="s">
        <v>162</v>
      </c>
      <c r="C106" t="s">
        <v>163</v>
      </c>
      <c r="D106" t="s">
        <v>156</v>
      </c>
      <c r="E106" t="s">
        <v>157</v>
      </c>
      <c r="F106" s="212">
        <v>-7.5</v>
      </c>
    </row>
    <row r="107" spans="1:6" x14ac:dyDescent="0.2">
      <c r="A107" t="s">
        <v>136</v>
      </c>
      <c r="B107" t="s">
        <v>164</v>
      </c>
      <c r="C107" t="s">
        <v>165</v>
      </c>
      <c r="D107" t="s">
        <v>156</v>
      </c>
      <c r="E107" t="s">
        <v>157</v>
      </c>
      <c r="F107" s="213">
        <v>8081</v>
      </c>
    </row>
    <row r="108" spans="1:6" x14ac:dyDescent="0.2">
      <c r="A108" t="s">
        <v>136</v>
      </c>
      <c r="B108" t="s">
        <v>166</v>
      </c>
      <c r="C108" t="s">
        <v>167</v>
      </c>
      <c r="D108" t="s">
        <v>156</v>
      </c>
      <c r="E108" t="s">
        <v>157</v>
      </c>
      <c r="F108" s="213">
        <v>1022599</v>
      </c>
    </row>
    <row r="109" spans="1:6" x14ac:dyDescent="0.2">
      <c r="A109" t="s">
        <v>136</v>
      </c>
      <c r="B109" t="s">
        <v>168</v>
      </c>
      <c r="C109" t="s">
        <v>169</v>
      </c>
      <c r="D109" t="s">
        <v>156</v>
      </c>
      <c r="E109" t="s">
        <v>157</v>
      </c>
      <c r="F109" s="214">
        <v>79.024133604668094</v>
      </c>
    </row>
    <row r="110" spans="1:6" x14ac:dyDescent="0.2">
      <c r="A110" t="s">
        <v>136</v>
      </c>
      <c r="B110" t="s">
        <v>170</v>
      </c>
      <c r="C110" t="s">
        <v>171</v>
      </c>
      <c r="D110" t="s">
        <v>172</v>
      </c>
      <c r="E110" t="s">
        <v>157</v>
      </c>
      <c r="F110" s="211" t="s">
        <v>173</v>
      </c>
    </row>
    <row r="111" spans="1:6" x14ac:dyDescent="0.2">
      <c r="A111" t="s">
        <v>136</v>
      </c>
      <c r="B111" t="s">
        <v>174</v>
      </c>
      <c r="C111" t="s">
        <v>175</v>
      </c>
      <c r="D111" t="s">
        <v>176</v>
      </c>
      <c r="E111" t="s">
        <v>157</v>
      </c>
      <c r="F111" s="215">
        <v>29.633099317905401</v>
      </c>
    </row>
    <row r="112" spans="1:6" x14ac:dyDescent="0.2">
      <c r="A112" t="s">
        <v>138</v>
      </c>
      <c r="B112" t="s">
        <v>154</v>
      </c>
      <c r="C112" t="s">
        <v>155</v>
      </c>
      <c r="D112" t="s">
        <v>156</v>
      </c>
      <c r="E112" t="s">
        <v>157</v>
      </c>
      <c r="F112" s="212">
        <v>63.57</v>
      </c>
    </row>
    <row r="113" spans="1:6" x14ac:dyDescent="0.2">
      <c r="A113" t="s">
        <v>138</v>
      </c>
      <c r="B113" t="s">
        <v>158</v>
      </c>
      <c r="C113" t="s">
        <v>159</v>
      </c>
      <c r="D113" t="s">
        <v>156</v>
      </c>
      <c r="E113" t="s">
        <v>157</v>
      </c>
      <c r="F113" s="212">
        <v>70.17</v>
      </c>
    </row>
    <row r="114" spans="1:6" x14ac:dyDescent="0.2">
      <c r="A114" t="s">
        <v>138</v>
      </c>
      <c r="B114" t="s">
        <v>160</v>
      </c>
      <c r="C114" t="s">
        <v>161</v>
      </c>
      <c r="D114" t="s">
        <v>156</v>
      </c>
      <c r="E114" t="s">
        <v>157</v>
      </c>
      <c r="F114" s="212">
        <v>66.87</v>
      </c>
    </row>
    <row r="115" spans="1:6" x14ac:dyDescent="0.2">
      <c r="A115" t="s">
        <v>138</v>
      </c>
      <c r="B115" t="s">
        <v>162</v>
      </c>
      <c r="C115" t="s">
        <v>163</v>
      </c>
      <c r="D115" t="s">
        <v>156</v>
      </c>
      <c r="E115" t="s">
        <v>157</v>
      </c>
      <c r="F115" s="212">
        <v>-16.5</v>
      </c>
    </row>
    <row r="116" spans="1:6" x14ac:dyDescent="0.2">
      <c r="A116" t="s">
        <v>138</v>
      </c>
      <c r="B116" t="s">
        <v>164</v>
      </c>
      <c r="C116" t="s">
        <v>165</v>
      </c>
      <c r="D116" t="s">
        <v>156</v>
      </c>
      <c r="E116" t="s">
        <v>157</v>
      </c>
      <c r="F116" s="213">
        <v>18975</v>
      </c>
    </row>
    <row r="117" spans="1:6" x14ac:dyDescent="0.2">
      <c r="A117" t="s">
        <v>138</v>
      </c>
      <c r="B117" t="s">
        <v>166</v>
      </c>
      <c r="C117" t="s">
        <v>167</v>
      </c>
      <c r="D117" t="s">
        <v>156</v>
      </c>
      <c r="E117" t="s">
        <v>157</v>
      </c>
      <c r="F117" s="213">
        <v>2077571</v>
      </c>
    </row>
    <row r="118" spans="1:6" x14ac:dyDescent="0.2">
      <c r="A118" t="s">
        <v>138</v>
      </c>
      <c r="B118" t="s">
        <v>168</v>
      </c>
      <c r="C118" t="s">
        <v>169</v>
      </c>
      <c r="D118" t="s">
        <v>156</v>
      </c>
      <c r="E118" t="s">
        <v>157</v>
      </c>
      <c r="F118" s="214">
        <v>91.332618716761061</v>
      </c>
    </row>
    <row r="119" spans="1:6" x14ac:dyDescent="0.2">
      <c r="A119" t="s">
        <v>138</v>
      </c>
      <c r="B119" t="s">
        <v>170</v>
      </c>
      <c r="C119" t="s">
        <v>171</v>
      </c>
      <c r="D119" t="s">
        <v>172</v>
      </c>
      <c r="E119" t="s">
        <v>157</v>
      </c>
      <c r="F119" s="211" t="s">
        <v>173</v>
      </c>
    </row>
    <row r="120" spans="1:6" x14ac:dyDescent="0.2">
      <c r="A120" t="s">
        <v>138</v>
      </c>
      <c r="B120" t="s">
        <v>174</v>
      </c>
      <c r="C120" t="s">
        <v>175</v>
      </c>
      <c r="D120" t="s">
        <v>176</v>
      </c>
      <c r="E120" t="s">
        <v>157</v>
      </c>
      <c r="F120" s="215">
        <v>48.454014498771798</v>
      </c>
    </row>
    <row r="121" spans="1:6" x14ac:dyDescent="0.2">
      <c r="A121" t="s">
        <v>140</v>
      </c>
      <c r="B121" t="s">
        <v>154</v>
      </c>
      <c r="C121" t="s">
        <v>155</v>
      </c>
      <c r="D121" t="s">
        <v>156</v>
      </c>
      <c r="E121" t="s">
        <v>157</v>
      </c>
      <c r="F121" s="212">
        <v>57.97</v>
      </c>
    </row>
    <row r="122" spans="1:6" x14ac:dyDescent="0.2">
      <c r="A122" t="s">
        <v>140</v>
      </c>
      <c r="B122" t="s">
        <v>158</v>
      </c>
      <c r="C122" t="s">
        <v>159</v>
      </c>
      <c r="D122" t="s">
        <v>156</v>
      </c>
      <c r="E122" t="s">
        <v>157</v>
      </c>
      <c r="F122" s="212">
        <v>71.739999999999995</v>
      </c>
    </row>
    <row r="123" spans="1:6" x14ac:dyDescent="0.2">
      <c r="A123" t="s">
        <v>140</v>
      </c>
      <c r="B123" t="s">
        <v>160</v>
      </c>
      <c r="C123" t="s">
        <v>161</v>
      </c>
      <c r="D123" t="s">
        <v>156</v>
      </c>
      <c r="E123" t="s">
        <v>157</v>
      </c>
      <c r="F123" s="212">
        <v>64.85499999999999</v>
      </c>
    </row>
    <row r="124" spans="1:6" x14ac:dyDescent="0.2">
      <c r="A124" t="s">
        <v>140</v>
      </c>
      <c r="B124" t="s">
        <v>162</v>
      </c>
      <c r="C124" t="s">
        <v>163</v>
      </c>
      <c r="D124" t="s">
        <v>156</v>
      </c>
      <c r="E124" t="s">
        <v>157</v>
      </c>
      <c r="F124" s="212">
        <v>-14.5</v>
      </c>
    </row>
    <row r="125" spans="1:6" x14ac:dyDescent="0.2">
      <c r="A125" t="s">
        <v>140</v>
      </c>
      <c r="B125" t="s">
        <v>164</v>
      </c>
      <c r="C125" t="s">
        <v>165</v>
      </c>
      <c r="D125" t="s">
        <v>156</v>
      </c>
      <c r="E125" t="s">
        <v>157</v>
      </c>
      <c r="F125" s="213">
        <v>83146</v>
      </c>
    </row>
    <row r="126" spans="1:6" x14ac:dyDescent="0.2">
      <c r="A126" t="s">
        <v>140</v>
      </c>
      <c r="B126" t="s">
        <v>166</v>
      </c>
      <c r="C126" t="s">
        <v>167</v>
      </c>
      <c r="D126" t="s">
        <v>156</v>
      </c>
      <c r="E126" t="s">
        <v>157</v>
      </c>
      <c r="F126" s="213">
        <v>5979736</v>
      </c>
    </row>
    <row r="127" spans="1:6" x14ac:dyDescent="0.2">
      <c r="A127" t="s">
        <v>140</v>
      </c>
      <c r="B127" t="s">
        <v>168</v>
      </c>
      <c r="C127" t="s">
        <v>169</v>
      </c>
      <c r="D127" t="s">
        <v>156</v>
      </c>
      <c r="E127" t="s">
        <v>157</v>
      </c>
      <c r="F127" s="214">
        <v>139.04627227690318</v>
      </c>
    </row>
    <row r="128" spans="1:6" x14ac:dyDescent="0.2">
      <c r="A128" t="s">
        <v>140</v>
      </c>
      <c r="B128" t="s">
        <v>170</v>
      </c>
      <c r="C128" t="s">
        <v>171</v>
      </c>
      <c r="D128" t="s">
        <v>172</v>
      </c>
      <c r="E128" t="s">
        <v>157</v>
      </c>
      <c r="F128" s="211" t="s">
        <v>173</v>
      </c>
    </row>
    <row r="129" spans="1:6" x14ac:dyDescent="0.2">
      <c r="A129" t="s">
        <v>140</v>
      </c>
      <c r="B129" t="s">
        <v>174</v>
      </c>
      <c r="C129" t="s">
        <v>175</v>
      </c>
      <c r="D129" t="s">
        <v>176</v>
      </c>
      <c r="E129" t="s">
        <v>157</v>
      </c>
      <c r="F129" s="215">
        <v>124.749670660169</v>
      </c>
    </row>
    <row r="130" spans="1:6" x14ac:dyDescent="0.2">
      <c r="A130" t="s">
        <v>142</v>
      </c>
      <c r="B130" t="s">
        <v>154</v>
      </c>
      <c r="C130" t="s">
        <v>155</v>
      </c>
      <c r="D130" t="s">
        <v>156</v>
      </c>
      <c r="E130" t="s">
        <v>157</v>
      </c>
      <c r="F130" s="212">
        <v>78.257685690663379</v>
      </c>
    </row>
    <row r="131" spans="1:6" x14ac:dyDescent="0.2">
      <c r="A131" t="s">
        <v>142</v>
      </c>
      <c r="B131" t="s">
        <v>158</v>
      </c>
      <c r="C131" t="s">
        <v>159</v>
      </c>
      <c r="D131" t="s">
        <v>156</v>
      </c>
      <c r="E131" t="s">
        <v>157</v>
      </c>
      <c r="F131" s="212">
        <v>78.332921346950741</v>
      </c>
    </row>
    <row r="132" spans="1:6" x14ac:dyDescent="0.2">
      <c r="A132" t="s">
        <v>142</v>
      </c>
      <c r="B132" t="s">
        <v>160</v>
      </c>
      <c r="C132" t="s">
        <v>161</v>
      </c>
      <c r="D132" t="s">
        <v>156</v>
      </c>
      <c r="E132" t="s">
        <v>157</v>
      </c>
      <c r="F132" s="212">
        <v>78.29530351880706</v>
      </c>
    </row>
    <row r="133" spans="1:6" x14ac:dyDescent="0.2">
      <c r="A133" t="s">
        <v>142</v>
      </c>
      <c r="B133" t="s">
        <v>162</v>
      </c>
      <c r="C133" t="s">
        <v>163</v>
      </c>
      <c r="D133" t="s">
        <v>156</v>
      </c>
      <c r="E133" t="s">
        <v>157</v>
      </c>
      <c r="F133" s="212">
        <v>19</v>
      </c>
    </row>
    <row r="134" spans="1:6" x14ac:dyDescent="0.2">
      <c r="A134" t="s">
        <v>142</v>
      </c>
      <c r="B134" t="s">
        <v>164</v>
      </c>
      <c r="C134" t="s">
        <v>165</v>
      </c>
      <c r="D134" t="s">
        <v>156</v>
      </c>
      <c r="E134" t="s">
        <v>157</v>
      </c>
      <c r="F134" s="213">
        <v>21437</v>
      </c>
    </row>
    <row r="135" spans="1:6" x14ac:dyDescent="0.2">
      <c r="A135" t="s">
        <v>142</v>
      </c>
      <c r="B135" t="s">
        <v>166</v>
      </c>
      <c r="C135" t="s">
        <v>167</v>
      </c>
      <c r="D135" t="s">
        <v>156</v>
      </c>
      <c r="E135" t="s">
        <v>157</v>
      </c>
      <c r="F135" s="213">
        <v>3371871</v>
      </c>
    </row>
    <row r="136" spans="1:6" x14ac:dyDescent="0.2">
      <c r="A136" t="s">
        <v>142</v>
      </c>
      <c r="B136" t="s">
        <v>168</v>
      </c>
      <c r="C136" t="s">
        <v>169</v>
      </c>
      <c r="D136" t="s">
        <v>156</v>
      </c>
      <c r="E136" t="s">
        <v>157</v>
      </c>
      <c r="F136" s="214">
        <v>63.575979033598855</v>
      </c>
    </row>
    <row r="137" spans="1:6" x14ac:dyDescent="0.2">
      <c r="A137" t="s">
        <v>142</v>
      </c>
      <c r="B137" t="s">
        <v>170</v>
      </c>
      <c r="C137" t="s">
        <v>171</v>
      </c>
      <c r="D137" t="s">
        <v>172</v>
      </c>
      <c r="E137" t="s">
        <v>157</v>
      </c>
      <c r="F137" s="211" t="s">
        <v>173</v>
      </c>
    </row>
    <row r="138" spans="1:6" x14ac:dyDescent="0.2">
      <c r="A138" t="s">
        <v>142</v>
      </c>
      <c r="B138" t="s">
        <v>174</v>
      </c>
      <c r="C138" t="s">
        <v>175</v>
      </c>
      <c r="D138" t="s">
        <v>176</v>
      </c>
      <c r="E138" t="s">
        <v>157</v>
      </c>
      <c r="F138" s="215">
        <v>127.598345901198</v>
      </c>
    </row>
    <row r="139" spans="1:6" x14ac:dyDescent="0.2">
      <c r="A139" t="s">
        <v>144</v>
      </c>
      <c r="B139" t="s">
        <v>154</v>
      </c>
      <c r="C139" t="s">
        <v>155</v>
      </c>
      <c r="D139" t="s">
        <v>156</v>
      </c>
      <c r="E139" t="s">
        <v>157</v>
      </c>
      <c r="F139" s="212">
        <v>82.79</v>
      </c>
    </row>
    <row r="140" spans="1:6" x14ac:dyDescent="0.2">
      <c r="A140" t="s">
        <v>144</v>
      </c>
      <c r="B140" t="s">
        <v>158</v>
      </c>
      <c r="C140" t="s">
        <v>159</v>
      </c>
      <c r="D140" t="s">
        <v>156</v>
      </c>
      <c r="E140" t="s">
        <v>157</v>
      </c>
      <c r="F140" s="212">
        <v>80.75</v>
      </c>
    </row>
    <row r="141" spans="1:6" x14ac:dyDescent="0.2">
      <c r="A141" t="s">
        <v>144</v>
      </c>
      <c r="B141" t="s">
        <v>160</v>
      </c>
      <c r="C141" t="s">
        <v>161</v>
      </c>
      <c r="D141" t="s">
        <v>156</v>
      </c>
      <c r="E141" t="s">
        <v>157</v>
      </c>
      <c r="F141" s="212">
        <v>81.77000000000001</v>
      </c>
    </row>
    <row r="142" spans="1:6" x14ac:dyDescent="0.2">
      <c r="A142" t="s">
        <v>144</v>
      </c>
      <c r="B142" t="s">
        <v>162</v>
      </c>
      <c r="C142" t="s">
        <v>163</v>
      </c>
      <c r="D142" t="s">
        <v>156</v>
      </c>
      <c r="E142" t="s">
        <v>157</v>
      </c>
      <c r="F142" s="212">
        <v>33.5</v>
      </c>
    </row>
    <row r="143" spans="1:6" x14ac:dyDescent="0.2">
      <c r="A143" t="s">
        <v>144</v>
      </c>
      <c r="B143" t="s">
        <v>164</v>
      </c>
      <c r="C143" t="s">
        <v>165</v>
      </c>
      <c r="D143" t="s">
        <v>156</v>
      </c>
      <c r="E143" t="s">
        <v>157</v>
      </c>
      <c r="F143" s="213">
        <v>3278</v>
      </c>
    </row>
    <row r="144" spans="1:6" x14ac:dyDescent="0.2">
      <c r="A144" t="s">
        <v>144</v>
      </c>
      <c r="B144" t="s">
        <v>166</v>
      </c>
      <c r="C144" t="s">
        <v>167</v>
      </c>
      <c r="D144" t="s">
        <v>156</v>
      </c>
      <c r="E144" t="s">
        <v>157</v>
      </c>
      <c r="F144" s="213">
        <v>1279658</v>
      </c>
    </row>
    <row r="145" spans="1:6" x14ac:dyDescent="0.2">
      <c r="A145" t="s">
        <v>144</v>
      </c>
      <c r="B145" t="s">
        <v>168</v>
      </c>
      <c r="C145" t="s">
        <v>169</v>
      </c>
      <c r="D145" t="s">
        <v>156</v>
      </c>
      <c r="E145" t="s">
        <v>157</v>
      </c>
      <c r="F145" s="214">
        <v>25.616219333603198</v>
      </c>
    </row>
    <row r="146" spans="1:6" x14ac:dyDescent="0.2">
      <c r="A146" t="s">
        <v>144</v>
      </c>
      <c r="B146" t="s">
        <v>170</v>
      </c>
      <c r="C146" t="s">
        <v>171</v>
      </c>
      <c r="D146" t="s">
        <v>172</v>
      </c>
      <c r="E146" t="s">
        <v>157</v>
      </c>
      <c r="F146" s="211" t="s">
        <v>173</v>
      </c>
    </row>
    <row r="147" spans="1:6" x14ac:dyDescent="0.2">
      <c r="A147" t="s">
        <v>144</v>
      </c>
      <c r="B147" t="s">
        <v>174</v>
      </c>
      <c r="C147" t="s">
        <v>175</v>
      </c>
      <c r="D147" t="s">
        <v>176</v>
      </c>
      <c r="E147" t="s">
        <v>157</v>
      </c>
      <c r="F147" s="215">
        <v>33.088091625028397</v>
      </c>
    </row>
    <row r="148" spans="1:6" x14ac:dyDescent="0.2">
      <c r="A148" t="s">
        <v>146</v>
      </c>
      <c r="B148" t="s">
        <v>154</v>
      </c>
      <c r="C148" t="s">
        <v>155</v>
      </c>
      <c r="D148" t="s">
        <v>156</v>
      </c>
      <c r="E148" t="s">
        <v>157</v>
      </c>
      <c r="F148" s="212">
        <v>73.568264529654201</v>
      </c>
    </row>
    <row r="149" spans="1:6" x14ac:dyDescent="0.2">
      <c r="A149" t="s">
        <v>146</v>
      </c>
      <c r="B149" t="s">
        <v>158</v>
      </c>
      <c r="C149" t="s">
        <v>159</v>
      </c>
      <c r="D149" t="s">
        <v>156</v>
      </c>
      <c r="E149" t="s">
        <v>157</v>
      </c>
      <c r="F149" s="212">
        <v>79.518090841698907</v>
      </c>
    </row>
    <row r="150" spans="1:6" x14ac:dyDescent="0.2">
      <c r="A150" t="s">
        <v>146</v>
      </c>
      <c r="B150" t="s">
        <v>160</v>
      </c>
      <c r="C150" t="s">
        <v>161</v>
      </c>
      <c r="D150" t="s">
        <v>156</v>
      </c>
      <c r="E150" t="s">
        <v>157</v>
      </c>
      <c r="F150" s="212">
        <v>76.543177685676554</v>
      </c>
    </row>
    <row r="151" spans="1:6" x14ac:dyDescent="0.2">
      <c r="A151" t="s">
        <v>146</v>
      </c>
      <c r="B151" t="s">
        <v>162</v>
      </c>
      <c r="C151" t="s">
        <v>163</v>
      </c>
      <c r="D151" t="s">
        <v>156</v>
      </c>
      <c r="E151" t="s">
        <v>157</v>
      </c>
      <c r="F151" s="212">
        <v>24</v>
      </c>
    </row>
    <row r="152" spans="1:6" x14ac:dyDescent="0.2">
      <c r="A152" t="s">
        <v>146</v>
      </c>
      <c r="B152" t="s">
        <v>164</v>
      </c>
      <c r="C152" t="s">
        <v>165</v>
      </c>
      <c r="D152" t="s">
        <v>156</v>
      </c>
      <c r="E152" t="s">
        <v>157</v>
      </c>
      <c r="F152" s="213">
        <v>23306</v>
      </c>
    </row>
    <row r="153" spans="1:6" x14ac:dyDescent="0.2">
      <c r="A153" t="s">
        <v>146</v>
      </c>
      <c r="B153" t="s">
        <v>166</v>
      </c>
      <c r="C153" t="s">
        <v>167</v>
      </c>
      <c r="D153" t="s">
        <v>156</v>
      </c>
      <c r="E153" t="s">
        <v>157</v>
      </c>
      <c r="F153" s="213">
        <v>2388813</v>
      </c>
    </row>
    <row r="154" spans="1:6" x14ac:dyDescent="0.2">
      <c r="A154" t="s">
        <v>146</v>
      </c>
      <c r="B154" t="s">
        <v>168</v>
      </c>
      <c r="C154" t="s">
        <v>169</v>
      </c>
      <c r="D154" t="s">
        <v>156</v>
      </c>
      <c r="E154" t="s">
        <v>157</v>
      </c>
      <c r="F154" s="214">
        <v>97.563099330085691</v>
      </c>
    </row>
    <row r="155" spans="1:6" x14ac:dyDescent="0.2">
      <c r="A155" t="s">
        <v>146</v>
      </c>
      <c r="B155" t="s">
        <v>170</v>
      </c>
      <c r="C155" t="s">
        <v>171</v>
      </c>
      <c r="D155" t="s">
        <v>172</v>
      </c>
      <c r="E155" t="s">
        <v>157</v>
      </c>
      <c r="F155" s="211" t="s">
        <v>173</v>
      </c>
    </row>
    <row r="156" spans="1:6" x14ac:dyDescent="0.2">
      <c r="A156" t="s">
        <v>146</v>
      </c>
      <c r="B156" t="s">
        <v>174</v>
      </c>
      <c r="C156" t="s">
        <v>175</v>
      </c>
      <c r="D156" t="s">
        <v>176</v>
      </c>
      <c r="E156" t="s">
        <v>157</v>
      </c>
      <c r="F156" s="215">
        <v>75.403938109161203</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BA14-60AA-4374-86F0-1839DD4E846B}">
  <sheetPr>
    <tabColor rgb="FFFFFF99"/>
    <pageSetUpPr fitToPage="1"/>
  </sheetPr>
  <dimension ref="A1:H156"/>
  <sheetViews>
    <sheetView zoomScale="80" zoomScaleNormal="80" workbookViewId="0">
      <selection activeCell="F4" sqref="F4"/>
    </sheetView>
  </sheetViews>
  <sheetFormatPr defaultColWidth="9.140625" defaultRowHeight="12.75" x14ac:dyDescent="0.2"/>
  <cols>
    <col min="1" max="1" width="10.140625" style="118" bestFit="1" customWidth="1"/>
    <col min="2" max="2" width="18.28515625" style="118" bestFit="1" customWidth="1"/>
    <col min="3" max="3" width="81.85546875" style="118" bestFit="1" customWidth="1"/>
    <col min="4" max="4" width="9.140625" style="118" bestFit="1" customWidth="1"/>
    <col min="5" max="5" width="28.85546875" style="118" bestFit="1" customWidth="1"/>
    <col min="6" max="6" width="12" style="118" customWidth="1"/>
    <col min="7" max="16384" width="9.140625" style="118"/>
  </cols>
  <sheetData>
    <row r="1" spans="1:6" x14ac:dyDescent="0.2">
      <c r="A1" s="118" t="str">
        <f ca="1" xml:space="preserve"> RIGHT(CELL("filename", $A$1), LEN(CELL("filename", $A$1)) - SEARCH("]", CELL("filename", $A$1)))</f>
        <v>InpOverride</v>
      </c>
    </row>
    <row r="2" spans="1:6" x14ac:dyDescent="0.2">
      <c r="A2" s="118" t="s">
        <v>112</v>
      </c>
      <c r="B2" s="118" t="s">
        <v>149</v>
      </c>
      <c r="C2" s="118" t="s">
        <v>150</v>
      </c>
      <c r="D2" s="118" t="s">
        <v>151</v>
      </c>
      <c r="E2" s="118" t="s">
        <v>152</v>
      </c>
      <c r="F2" s="118" t="str">
        <f xml:space="preserve"> F_Inputs!$F$2</f>
        <v>2023-24</v>
      </c>
    </row>
    <row r="4" spans="1:6" x14ac:dyDescent="0.2">
      <c r="A4" s="118" t="s">
        <v>114</v>
      </c>
      <c r="B4" s="119" t="s">
        <v>177</v>
      </c>
      <c r="C4" s="120" t="s">
        <v>155</v>
      </c>
      <c r="D4" s="119" t="s">
        <v>178</v>
      </c>
      <c r="E4" s="118" t="s">
        <v>157</v>
      </c>
      <c r="F4" s="217">
        <v>65.400000000000006</v>
      </c>
    </row>
    <row r="5" spans="1:6" x14ac:dyDescent="0.2">
      <c r="B5" s="119" t="s">
        <v>179</v>
      </c>
      <c r="C5" s="120" t="s">
        <v>159</v>
      </c>
      <c r="D5" s="119" t="s">
        <v>178</v>
      </c>
      <c r="E5" s="118" t="s">
        <v>157</v>
      </c>
      <c r="F5" s="217">
        <v>74.790000000000006</v>
      </c>
    </row>
    <row r="6" spans="1:6" x14ac:dyDescent="0.2">
      <c r="B6" s="119" t="s">
        <v>180</v>
      </c>
      <c r="C6" s="120" t="s">
        <v>161</v>
      </c>
      <c r="D6" s="119" t="s">
        <v>178</v>
      </c>
      <c r="E6" s="118" t="s">
        <v>157</v>
      </c>
      <c r="F6" s="217">
        <v>70.099999999999994</v>
      </c>
    </row>
    <row r="7" spans="1:6" x14ac:dyDescent="0.2">
      <c r="B7" s="119" t="s">
        <v>181</v>
      </c>
      <c r="C7" s="120" t="s">
        <v>163</v>
      </c>
      <c r="D7" s="119" t="s">
        <v>178</v>
      </c>
      <c r="E7" s="118" t="s">
        <v>157</v>
      </c>
      <c r="F7" s="217">
        <v>-5.5</v>
      </c>
    </row>
    <row r="8" spans="1:6" x14ac:dyDescent="0.2">
      <c r="B8" s="119" t="s">
        <v>182</v>
      </c>
      <c r="C8" s="120" t="s">
        <v>165</v>
      </c>
      <c r="D8" s="119" t="s">
        <v>178</v>
      </c>
      <c r="E8" s="118" t="s">
        <v>157</v>
      </c>
      <c r="F8"/>
    </row>
    <row r="9" spans="1:6" x14ac:dyDescent="0.2">
      <c r="B9" s="119" t="s">
        <v>183</v>
      </c>
      <c r="C9" s="120" t="s">
        <v>167</v>
      </c>
      <c r="D9" s="119" t="s">
        <v>178</v>
      </c>
      <c r="E9" s="118" t="s">
        <v>157</v>
      </c>
      <c r="F9"/>
    </row>
    <row r="10" spans="1:6" x14ac:dyDescent="0.2">
      <c r="B10" s="119" t="s">
        <v>184</v>
      </c>
      <c r="C10" s="120" t="s">
        <v>169</v>
      </c>
      <c r="D10" s="119" t="s">
        <v>178</v>
      </c>
      <c r="E10" s="118" t="s">
        <v>157</v>
      </c>
      <c r="F10"/>
    </row>
    <row r="11" spans="1:6" x14ac:dyDescent="0.2">
      <c r="B11" s="119" t="s">
        <v>185</v>
      </c>
      <c r="C11" s="120" t="s">
        <v>171</v>
      </c>
      <c r="D11" s="119" t="s">
        <v>172</v>
      </c>
      <c r="E11" s="118" t="s">
        <v>157</v>
      </c>
      <c r="F11"/>
    </row>
    <row r="12" spans="1:6" x14ac:dyDescent="0.2">
      <c r="B12" s="118" t="s">
        <v>186</v>
      </c>
      <c r="C12" s="118" t="s">
        <v>187</v>
      </c>
      <c r="D12" s="119" t="s">
        <v>176</v>
      </c>
      <c r="E12" s="118" t="s">
        <v>157</v>
      </c>
      <c r="F12"/>
    </row>
    <row r="13" spans="1:6" x14ac:dyDescent="0.2">
      <c r="A13" s="118" t="s">
        <v>116</v>
      </c>
      <c r="B13" s="119" t="s">
        <v>177</v>
      </c>
      <c r="C13" s="120" t="s">
        <v>155</v>
      </c>
      <c r="D13" s="119" t="s">
        <v>178</v>
      </c>
      <c r="E13" s="118" t="s">
        <v>157</v>
      </c>
      <c r="F13" s="217">
        <v>78.77</v>
      </c>
    </row>
    <row r="14" spans="1:6" x14ac:dyDescent="0.2">
      <c r="B14" s="119" t="s">
        <v>179</v>
      </c>
      <c r="C14" s="120" t="s">
        <v>159</v>
      </c>
      <c r="D14" s="119" t="s">
        <v>178</v>
      </c>
      <c r="E14" s="118" t="s">
        <v>157</v>
      </c>
      <c r="F14" s="217">
        <v>75.98</v>
      </c>
    </row>
    <row r="15" spans="1:6" x14ac:dyDescent="0.2">
      <c r="B15" s="119" t="s">
        <v>180</v>
      </c>
      <c r="C15" s="120" t="s">
        <v>161</v>
      </c>
      <c r="D15" s="119" t="s">
        <v>178</v>
      </c>
      <c r="E15" s="118" t="s">
        <v>157</v>
      </c>
      <c r="F15" s="217">
        <v>77.38</v>
      </c>
    </row>
    <row r="16" spans="1:6" x14ac:dyDescent="0.2">
      <c r="B16" s="119" t="s">
        <v>181</v>
      </c>
      <c r="C16" s="120" t="s">
        <v>163</v>
      </c>
      <c r="D16" s="119" t="s">
        <v>178</v>
      </c>
      <c r="E16" s="118" t="s">
        <v>157</v>
      </c>
      <c r="F16" s="217">
        <v>13.5</v>
      </c>
    </row>
    <row r="17" spans="1:7" x14ac:dyDescent="0.2">
      <c r="B17" s="119" t="s">
        <v>182</v>
      </c>
      <c r="C17" s="120" t="s">
        <v>165</v>
      </c>
      <c r="D17" s="119" t="s">
        <v>178</v>
      </c>
      <c r="E17" s="118" t="s">
        <v>157</v>
      </c>
      <c r="F17" s="217">
        <v>11837</v>
      </c>
    </row>
    <row r="18" spans="1:7" x14ac:dyDescent="0.2">
      <c r="B18" s="119" t="s">
        <v>183</v>
      </c>
      <c r="C18" s="120" t="s">
        <v>167</v>
      </c>
      <c r="D18" s="119" t="s">
        <v>178</v>
      </c>
      <c r="E18" s="118" t="s">
        <v>157</v>
      </c>
      <c r="F18" s="218">
        <v>3112980</v>
      </c>
    </row>
    <row r="19" spans="1:7" x14ac:dyDescent="0.2">
      <c r="B19" s="119" t="s">
        <v>184</v>
      </c>
      <c r="C19" s="120" t="s">
        <v>169</v>
      </c>
      <c r="D19" s="119" t="s">
        <v>178</v>
      </c>
      <c r="E19" s="118" t="s">
        <v>157</v>
      </c>
      <c r="F19" s="218">
        <v>38.024658044703102</v>
      </c>
    </row>
    <row r="20" spans="1:7" x14ac:dyDescent="0.2">
      <c r="B20" s="119" t="s">
        <v>185</v>
      </c>
      <c r="C20" s="120" t="s">
        <v>171</v>
      </c>
      <c r="D20" s="119" t="s">
        <v>172</v>
      </c>
      <c r="E20" s="118" t="s">
        <v>157</v>
      </c>
      <c r="F20" s="218" t="b">
        <v>1</v>
      </c>
    </row>
    <row r="21" spans="1:7" x14ac:dyDescent="0.2">
      <c r="B21" s="118" t="s">
        <v>186</v>
      </c>
      <c r="C21" s="118" t="s">
        <v>187</v>
      </c>
      <c r="D21" s="119" t="s">
        <v>176</v>
      </c>
      <c r="E21" s="118" t="s">
        <v>157</v>
      </c>
      <c r="F21"/>
    </row>
    <row r="22" spans="1:7" x14ac:dyDescent="0.2">
      <c r="A22" s="118" t="s">
        <v>118</v>
      </c>
      <c r="B22" s="119" t="s">
        <v>177</v>
      </c>
      <c r="C22" s="120" t="s">
        <v>155</v>
      </c>
      <c r="D22" s="119" t="s">
        <v>178</v>
      </c>
      <c r="E22" s="118" t="s">
        <v>157</v>
      </c>
      <c r="F22" s="217">
        <v>78.92</v>
      </c>
    </row>
    <row r="23" spans="1:7" x14ac:dyDescent="0.2">
      <c r="B23" s="119" t="s">
        <v>179</v>
      </c>
      <c r="C23" s="120" t="s">
        <v>159</v>
      </c>
      <c r="D23" s="119" t="s">
        <v>178</v>
      </c>
      <c r="E23" s="118" t="s">
        <v>157</v>
      </c>
      <c r="F23" s="217">
        <v>76.59</v>
      </c>
    </row>
    <row r="24" spans="1:7" x14ac:dyDescent="0.2">
      <c r="B24" s="119" t="s">
        <v>180</v>
      </c>
      <c r="C24" s="120" t="s">
        <v>161</v>
      </c>
      <c r="D24" s="119" t="s">
        <v>178</v>
      </c>
      <c r="E24" s="118" t="s">
        <v>157</v>
      </c>
      <c r="F24" s="217">
        <v>77.760000000000005</v>
      </c>
    </row>
    <row r="25" spans="1:7" x14ac:dyDescent="0.2">
      <c r="B25" s="119" t="s">
        <v>181</v>
      </c>
      <c r="C25" s="120" t="s">
        <v>163</v>
      </c>
      <c r="D25" s="119" t="s">
        <v>178</v>
      </c>
      <c r="E25" s="118" t="s">
        <v>157</v>
      </c>
      <c r="F25" s="217">
        <v>18</v>
      </c>
    </row>
    <row r="26" spans="1:7" x14ac:dyDescent="0.2">
      <c r="B26" s="119" t="s">
        <v>182</v>
      </c>
      <c r="C26" s="120" t="s">
        <v>165</v>
      </c>
      <c r="D26" s="119" t="s">
        <v>178</v>
      </c>
      <c r="E26" s="118" t="s">
        <v>157</v>
      </c>
      <c r="F26"/>
      <c r="G26" s="195"/>
    </row>
    <row r="27" spans="1:7" x14ac:dyDescent="0.2">
      <c r="B27" s="119" t="s">
        <v>183</v>
      </c>
      <c r="C27" s="120" t="s">
        <v>167</v>
      </c>
      <c r="D27" s="119" t="s">
        <v>178</v>
      </c>
      <c r="E27" s="118" t="s">
        <v>157</v>
      </c>
      <c r="F27"/>
    </row>
    <row r="28" spans="1:7" x14ac:dyDescent="0.2">
      <c r="B28" s="119" t="s">
        <v>184</v>
      </c>
      <c r="C28" s="120" t="s">
        <v>169</v>
      </c>
      <c r="D28" s="119" t="s">
        <v>178</v>
      </c>
      <c r="E28" s="118" t="s">
        <v>157</v>
      </c>
      <c r="F28"/>
      <c r="G28" s="195"/>
    </row>
    <row r="29" spans="1:7" x14ac:dyDescent="0.2">
      <c r="B29" s="119" t="s">
        <v>185</v>
      </c>
      <c r="C29" s="120" t="s">
        <v>171</v>
      </c>
      <c r="D29" s="119" t="s">
        <v>172</v>
      </c>
      <c r="E29" s="118" t="s">
        <v>157</v>
      </c>
      <c r="F29"/>
    </row>
    <row r="30" spans="1:7" x14ac:dyDescent="0.2">
      <c r="B30" s="118" t="s">
        <v>186</v>
      </c>
      <c r="C30" s="118" t="s">
        <v>187</v>
      </c>
      <c r="D30" s="119" t="s">
        <v>176</v>
      </c>
      <c r="E30" s="118" t="s">
        <v>157</v>
      </c>
      <c r="F30"/>
    </row>
    <row r="31" spans="1:7" x14ac:dyDescent="0.2">
      <c r="A31" s="118" t="s">
        <v>120</v>
      </c>
      <c r="B31" s="119" t="s">
        <v>177</v>
      </c>
      <c r="C31" s="120" t="s">
        <v>155</v>
      </c>
      <c r="D31" s="119" t="s">
        <v>178</v>
      </c>
      <c r="E31" s="118" t="s">
        <v>157</v>
      </c>
      <c r="F31" s="217">
        <v>79.75</v>
      </c>
    </row>
    <row r="32" spans="1:7" x14ac:dyDescent="0.2">
      <c r="B32" s="119" t="s">
        <v>179</v>
      </c>
      <c r="C32" s="120" t="s">
        <v>159</v>
      </c>
      <c r="D32" s="119" t="s">
        <v>178</v>
      </c>
      <c r="E32" s="118" t="s">
        <v>157</v>
      </c>
      <c r="F32" s="217">
        <v>79.38</v>
      </c>
    </row>
    <row r="33" spans="1:6" x14ac:dyDescent="0.2">
      <c r="B33" s="119" t="s">
        <v>180</v>
      </c>
      <c r="C33" s="120" t="s">
        <v>161</v>
      </c>
      <c r="D33" s="119" t="s">
        <v>178</v>
      </c>
      <c r="E33" s="118" t="s">
        <v>157</v>
      </c>
      <c r="F33" s="217">
        <v>79.56</v>
      </c>
    </row>
    <row r="34" spans="1:6" x14ac:dyDescent="0.2">
      <c r="B34" s="119" t="s">
        <v>181</v>
      </c>
      <c r="C34" s="120" t="s">
        <v>163</v>
      </c>
      <c r="D34" s="119" t="s">
        <v>178</v>
      </c>
      <c r="E34" s="118" t="s">
        <v>157</v>
      </c>
      <c r="F34" s="217">
        <v>28.5</v>
      </c>
    </row>
    <row r="35" spans="1:6" x14ac:dyDescent="0.2">
      <c r="B35" s="119" t="s">
        <v>182</v>
      </c>
      <c r="C35" s="120" t="s">
        <v>165</v>
      </c>
      <c r="D35" s="119" t="s">
        <v>178</v>
      </c>
      <c r="E35" s="118" t="s">
        <v>157</v>
      </c>
      <c r="F35"/>
    </row>
    <row r="36" spans="1:6" x14ac:dyDescent="0.2">
      <c r="B36" s="119" t="s">
        <v>183</v>
      </c>
      <c r="C36" s="120" t="s">
        <v>167</v>
      </c>
      <c r="D36" s="119" t="s">
        <v>178</v>
      </c>
      <c r="E36" s="118" t="s">
        <v>157</v>
      </c>
      <c r="F36"/>
    </row>
    <row r="37" spans="1:6" x14ac:dyDescent="0.2">
      <c r="B37" s="119" t="s">
        <v>184</v>
      </c>
      <c r="C37" s="120" t="s">
        <v>169</v>
      </c>
      <c r="D37" s="119" t="s">
        <v>178</v>
      </c>
      <c r="E37" s="118" t="s">
        <v>157</v>
      </c>
      <c r="F37"/>
    </row>
    <row r="38" spans="1:6" x14ac:dyDescent="0.2">
      <c r="B38" s="119" t="s">
        <v>185</v>
      </c>
      <c r="C38" s="120" t="s">
        <v>171</v>
      </c>
      <c r="D38" s="119" t="s">
        <v>172</v>
      </c>
      <c r="E38" s="118" t="s">
        <v>157</v>
      </c>
      <c r="F38"/>
    </row>
    <row r="39" spans="1:6" x14ac:dyDescent="0.2">
      <c r="B39" s="118" t="s">
        <v>186</v>
      </c>
      <c r="C39" s="118" t="s">
        <v>187</v>
      </c>
      <c r="D39" s="119" t="s">
        <v>176</v>
      </c>
      <c r="E39" s="118" t="s">
        <v>157</v>
      </c>
      <c r="F39"/>
    </row>
    <row r="40" spans="1:6" x14ac:dyDescent="0.2">
      <c r="A40" s="118" t="s">
        <v>122</v>
      </c>
      <c r="B40" s="119" t="s">
        <v>177</v>
      </c>
      <c r="C40" s="120" t="s">
        <v>155</v>
      </c>
      <c r="D40" s="119" t="s">
        <v>178</v>
      </c>
      <c r="E40" s="118" t="s">
        <v>157</v>
      </c>
      <c r="F40" s="217">
        <v>75.45</v>
      </c>
    </row>
    <row r="41" spans="1:6" x14ac:dyDescent="0.2">
      <c r="B41" s="119" t="s">
        <v>179</v>
      </c>
      <c r="C41" s="120" t="s">
        <v>159</v>
      </c>
      <c r="D41" s="119" t="s">
        <v>178</v>
      </c>
      <c r="E41" s="118" t="s">
        <v>157</v>
      </c>
      <c r="F41" s="217">
        <v>79.77</v>
      </c>
    </row>
    <row r="42" spans="1:6" x14ac:dyDescent="0.2">
      <c r="B42" s="119" t="s">
        <v>180</v>
      </c>
      <c r="C42" s="120" t="s">
        <v>161</v>
      </c>
      <c r="D42" s="119" t="s">
        <v>178</v>
      </c>
      <c r="E42" s="118" t="s">
        <v>157</v>
      </c>
      <c r="F42" s="217">
        <v>77.61</v>
      </c>
    </row>
    <row r="43" spans="1:6" x14ac:dyDescent="0.2">
      <c r="B43" s="119" t="s">
        <v>181</v>
      </c>
      <c r="C43" s="120" t="s">
        <v>163</v>
      </c>
      <c r="D43" s="119" t="s">
        <v>178</v>
      </c>
      <c r="E43" s="118" t="s">
        <v>157</v>
      </c>
      <c r="F43" s="217">
        <v>20</v>
      </c>
    </row>
    <row r="44" spans="1:6" x14ac:dyDescent="0.2">
      <c r="B44" s="119" t="s">
        <v>182</v>
      </c>
      <c r="C44" s="120" t="s">
        <v>165</v>
      </c>
      <c r="D44" s="119" t="s">
        <v>178</v>
      </c>
      <c r="E44" s="118" t="s">
        <v>157</v>
      </c>
      <c r="F44"/>
    </row>
    <row r="45" spans="1:6" x14ac:dyDescent="0.2">
      <c r="B45" s="119" t="s">
        <v>183</v>
      </c>
      <c r="C45" s="120" t="s">
        <v>167</v>
      </c>
      <c r="D45" s="119" t="s">
        <v>178</v>
      </c>
      <c r="E45" s="118" t="s">
        <v>157</v>
      </c>
      <c r="F45"/>
    </row>
    <row r="46" spans="1:6" x14ac:dyDescent="0.2">
      <c r="B46" s="119" t="s">
        <v>184</v>
      </c>
      <c r="C46" s="120" t="s">
        <v>169</v>
      </c>
      <c r="D46" s="119" t="s">
        <v>178</v>
      </c>
      <c r="E46" s="118" t="s">
        <v>157</v>
      </c>
      <c r="F46"/>
    </row>
    <row r="47" spans="1:6" x14ac:dyDescent="0.2">
      <c r="B47" s="119" t="s">
        <v>185</v>
      </c>
      <c r="C47" s="120" t="s">
        <v>171</v>
      </c>
      <c r="D47" s="119" t="s">
        <v>172</v>
      </c>
      <c r="E47" s="118" t="s">
        <v>157</v>
      </c>
      <c r="F47"/>
    </row>
    <row r="48" spans="1:6" x14ac:dyDescent="0.2">
      <c r="B48" s="118" t="s">
        <v>186</v>
      </c>
      <c r="C48" s="118" t="s">
        <v>187</v>
      </c>
      <c r="D48" s="119" t="s">
        <v>176</v>
      </c>
      <c r="E48" s="118" t="s">
        <v>157</v>
      </c>
      <c r="F48"/>
    </row>
    <row r="49" spans="1:8" x14ac:dyDescent="0.2">
      <c r="A49" s="118" t="s">
        <v>124</v>
      </c>
      <c r="B49" s="119" t="s">
        <v>177</v>
      </c>
      <c r="C49" s="120" t="s">
        <v>155</v>
      </c>
      <c r="D49" s="119" t="s">
        <v>178</v>
      </c>
      <c r="E49" s="118" t="s">
        <v>157</v>
      </c>
      <c r="F49" s="217">
        <v>82.21</v>
      </c>
    </row>
    <row r="50" spans="1:8" x14ac:dyDescent="0.2">
      <c r="B50" s="119" t="s">
        <v>179</v>
      </c>
      <c r="C50" s="120" t="s">
        <v>159</v>
      </c>
      <c r="D50" s="119" t="s">
        <v>178</v>
      </c>
      <c r="E50" s="118" t="s">
        <v>157</v>
      </c>
      <c r="F50" s="217">
        <v>78.52</v>
      </c>
    </row>
    <row r="51" spans="1:8" x14ac:dyDescent="0.2">
      <c r="B51" s="119" t="s">
        <v>180</v>
      </c>
      <c r="C51" s="120" t="s">
        <v>161</v>
      </c>
      <c r="D51" s="119" t="s">
        <v>178</v>
      </c>
      <c r="E51" s="118" t="s">
        <v>157</v>
      </c>
      <c r="F51" s="217">
        <v>80.36</v>
      </c>
    </row>
    <row r="52" spans="1:8" x14ac:dyDescent="0.2">
      <c r="B52" s="119" t="s">
        <v>181</v>
      </c>
      <c r="C52" s="120" t="s">
        <v>163</v>
      </c>
      <c r="D52" s="119" t="s">
        <v>178</v>
      </c>
      <c r="E52" s="118" t="s">
        <v>157</v>
      </c>
      <c r="F52" s="217">
        <v>26</v>
      </c>
      <c r="H52" s="216"/>
    </row>
    <row r="53" spans="1:8" x14ac:dyDescent="0.2">
      <c r="B53" s="119" t="s">
        <v>182</v>
      </c>
      <c r="C53" s="120" t="s">
        <v>165</v>
      </c>
      <c r="D53" s="119" t="s">
        <v>178</v>
      </c>
      <c r="E53" s="118" t="s">
        <v>157</v>
      </c>
      <c r="F53"/>
    </row>
    <row r="54" spans="1:8" x14ac:dyDescent="0.2">
      <c r="B54" s="119" t="s">
        <v>183</v>
      </c>
      <c r="C54" s="120" t="s">
        <v>167</v>
      </c>
      <c r="D54" s="119" t="s">
        <v>178</v>
      </c>
      <c r="E54" s="118" t="s">
        <v>157</v>
      </c>
      <c r="F54"/>
    </row>
    <row r="55" spans="1:8" x14ac:dyDescent="0.2">
      <c r="B55" s="119" t="s">
        <v>184</v>
      </c>
      <c r="C55" s="120" t="s">
        <v>169</v>
      </c>
      <c r="D55" s="119" t="s">
        <v>178</v>
      </c>
      <c r="E55" s="118" t="s">
        <v>157</v>
      </c>
      <c r="F55"/>
      <c r="G55" s="119"/>
    </row>
    <row r="56" spans="1:8" x14ac:dyDescent="0.2">
      <c r="B56" s="119" t="s">
        <v>185</v>
      </c>
      <c r="C56" s="120" t="s">
        <v>171</v>
      </c>
      <c r="D56" s="119" t="s">
        <v>172</v>
      </c>
      <c r="E56" s="118" t="s">
        <v>157</v>
      </c>
      <c r="F56"/>
    </row>
    <row r="57" spans="1:8" x14ac:dyDescent="0.2">
      <c r="B57" s="118" t="s">
        <v>186</v>
      </c>
      <c r="C57" s="118" t="s">
        <v>187</v>
      </c>
      <c r="D57" s="119" t="s">
        <v>176</v>
      </c>
      <c r="E57" s="118" t="s">
        <v>157</v>
      </c>
      <c r="F57"/>
    </row>
    <row r="58" spans="1:8" x14ac:dyDescent="0.2">
      <c r="A58" s="118" t="s">
        <v>126</v>
      </c>
      <c r="B58" s="119" t="s">
        <v>177</v>
      </c>
      <c r="C58" s="120" t="s">
        <v>155</v>
      </c>
      <c r="D58" s="119" t="s">
        <v>178</v>
      </c>
      <c r="E58" s="118" t="s">
        <v>157</v>
      </c>
      <c r="F58" s="217">
        <v>79.67</v>
      </c>
    </row>
    <row r="59" spans="1:8" x14ac:dyDescent="0.2">
      <c r="B59" s="119" t="s">
        <v>179</v>
      </c>
      <c r="C59" s="120" t="s">
        <v>159</v>
      </c>
      <c r="D59" s="119" t="s">
        <v>178</v>
      </c>
      <c r="E59" s="118" t="s">
        <v>157</v>
      </c>
      <c r="F59" s="217">
        <v>75.900000000000006</v>
      </c>
    </row>
    <row r="60" spans="1:8" x14ac:dyDescent="0.2">
      <c r="B60" s="119" t="s">
        <v>180</v>
      </c>
      <c r="C60" s="120" t="s">
        <v>161</v>
      </c>
      <c r="D60" s="119" t="s">
        <v>178</v>
      </c>
      <c r="E60" s="118" t="s">
        <v>157</v>
      </c>
      <c r="F60" s="217">
        <v>77.78</v>
      </c>
    </row>
    <row r="61" spans="1:8" x14ac:dyDescent="0.2">
      <c r="B61" s="119" t="s">
        <v>181</v>
      </c>
      <c r="C61" s="120" t="s">
        <v>163</v>
      </c>
      <c r="D61" s="119" t="s">
        <v>178</v>
      </c>
      <c r="E61" s="118" t="s">
        <v>157</v>
      </c>
      <c r="F61" s="217">
        <v>20</v>
      </c>
      <c r="G61" s="119"/>
    </row>
    <row r="62" spans="1:8" x14ac:dyDescent="0.2">
      <c r="B62" s="119" t="s">
        <v>182</v>
      </c>
      <c r="C62" s="120" t="s">
        <v>165</v>
      </c>
      <c r="D62" s="119" t="s">
        <v>178</v>
      </c>
      <c r="E62" s="118" t="s">
        <v>157</v>
      </c>
      <c r="F62"/>
    </row>
    <row r="63" spans="1:8" x14ac:dyDescent="0.2">
      <c r="B63" s="119" t="s">
        <v>183</v>
      </c>
      <c r="C63" s="120" t="s">
        <v>167</v>
      </c>
      <c r="D63" s="119" t="s">
        <v>178</v>
      </c>
      <c r="E63" s="118" t="s">
        <v>157</v>
      </c>
      <c r="F63"/>
    </row>
    <row r="64" spans="1:8" x14ac:dyDescent="0.2">
      <c r="B64" s="119" t="s">
        <v>184</v>
      </c>
      <c r="C64" s="120" t="s">
        <v>169</v>
      </c>
      <c r="D64" s="119" t="s">
        <v>178</v>
      </c>
      <c r="E64" s="118" t="s">
        <v>157</v>
      </c>
      <c r="F64"/>
    </row>
    <row r="65" spans="1:6" x14ac:dyDescent="0.2">
      <c r="B65" s="119" t="s">
        <v>185</v>
      </c>
      <c r="C65" s="120" t="s">
        <v>171</v>
      </c>
      <c r="D65" s="119" t="s">
        <v>172</v>
      </c>
      <c r="E65" s="118" t="s">
        <v>157</v>
      </c>
      <c r="F65"/>
    </row>
    <row r="66" spans="1:6" x14ac:dyDescent="0.2">
      <c r="B66" s="118" t="s">
        <v>186</v>
      </c>
      <c r="C66" s="118" t="s">
        <v>187</v>
      </c>
      <c r="D66" s="119" t="s">
        <v>176</v>
      </c>
      <c r="E66" s="118" t="s">
        <v>157</v>
      </c>
      <c r="F66"/>
    </row>
    <row r="67" spans="1:6" x14ac:dyDescent="0.2">
      <c r="A67" s="118" t="s">
        <v>128</v>
      </c>
      <c r="B67" s="119" t="s">
        <v>177</v>
      </c>
      <c r="C67" s="120" t="s">
        <v>155</v>
      </c>
      <c r="D67" s="119" t="s">
        <v>178</v>
      </c>
      <c r="E67" s="118" t="s">
        <v>157</v>
      </c>
      <c r="F67" s="217">
        <v>66.12</v>
      </c>
    </row>
    <row r="68" spans="1:6" x14ac:dyDescent="0.2">
      <c r="B68" s="119" t="s">
        <v>179</v>
      </c>
      <c r="C68" s="120" t="s">
        <v>159</v>
      </c>
      <c r="D68" s="119" t="s">
        <v>178</v>
      </c>
      <c r="E68" s="118" t="s">
        <v>157</v>
      </c>
      <c r="F68" s="217">
        <v>73.31</v>
      </c>
    </row>
    <row r="69" spans="1:6" x14ac:dyDescent="0.2">
      <c r="B69" s="119" t="s">
        <v>180</v>
      </c>
      <c r="C69" s="120" t="s">
        <v>161</v>
      </c>
      <c r="D69" s="119" t="s">
        <v>178</v>
      </c>
      <c r="E69" s="118" t="s">
        <v>157</v>
      </c>
      <c r="F69" s="217">
        <v>69.72</v>
      </c>
    </row>
    <row r="70" spans="1:6" x14ac:dyDescent="0.2">
      <c r="B70" s="119" t="s">
        <v>181</v>
      </c>
      <c r="C70" s="120" t="s">
        <v>163</v>
      </c>
      <c r="D70" s="119" t="s">
        <v>178</v>
      </c>
      <c r="E70" s="118" t="s">
        <v>157</v>
      </c>
      <c r="F70" s="217">
        <v>-9</v>
      </c>
    </row>
    <row r="71" spans="1:6" x14ac:dyDescent="0.2">
      <c r="B71" s="119" t="s">
        <v>182</v>
      </c>
      <c r="C71" s="120" t="s">
        <v>165</v>
      </c>
      <c r="D71" s="119" t="s">
        <v>178</v>
      </c>
      <c r="E71" s="118" t="s">
        <v>157</v>
      </c>
      <c r="F71"/>
    </row>
    <row r="72" spans="1:6" x14ac:dyDescent="0.2">
      <c r="B72" s="119" t="s">
        <v>183</v>
      </c>
      <c r="C72" s="120" t="s">
        <v>167</v>
      </c>
      <c r="D72" s="119" t="s">
        <v>178</v>
      </c>
      <c r="E72" s="118" t="s">
        <v>157</v>
      </c>
      <c r="F72"/>
    </row>
    <row r="73" spans="1:6" x14ac:dyDescent="0.2">
      <c r="B73" s="119" t="s">
        <v>184</v>
      </c>
      <c r="C73" s="120" t="s">
        <v>169</v>
      </c>
      <c r="D73" s="119" t="s">
        <v>178</v>
      </c>
      <c r="E73" s="118" t="s">
        <v>157</v>
      </c>
      <c r="F73"/>
    </row>
    <row r="74" spans="1:6" x14ac:dyDescent="0.2">
      <c r="B74" s="119" t="s">
        <v>185</v>
      </c>
      <c r="C74" s="120" t="s">
        <v>171</v>
      </c>
      <c r="D74" s="119" t="s">
        <v>172</v>
      </c>
      <c r="E74" s="118" t="s">
        <v>157</v>
      </c>
      <c r="F74"/>
    </row>
    <row r="75" spans="1:6" x14ac:dyDescent="0.2">
      <c r="B75" s="118" t="s">
        <v>186</v>
      </c>
      <c r="C75" s="118" t="s">
        <v>187</v>
      </c>
      <c r="D75" s="119" t="s">
        <v>176</v>
      </c>
      <c r="E75" s="118" t="s">
        <v>157</v>
      </c>
      <c r="F75"/>
    </row>
    <row r="76" spans="1:6" x14ac:dyDescent="0.2">
      <c r="A76" s="118" t="s">
        <v>130</v>
      </c>
      <c r="B76" s="119" t="s">
        <v>177</v>
      </c>
      <c r="C76" s="120" t="s">
        <v>155</v>
      </c>
      <c r="D76" s="119" t="s">
        <v>178</v>
      </c>
      <c r="E76" s="118" t="s">
        <v>157</v>
      </c>
      <c r="F76" s="217">
        <v>72.17</v>
      </c>
    </row>
    <row r="77" spans="1:6" x14ac:dyDescent="0.2">
      <c r="B77" s="119" t="s">
        <v>179</v>
      </c>
      <c r="C77" s="120" t="s">
        <v>159</v>
      </c>
      <c r="D77" s="119" t="s">
        <v>178</v>
      </c>
      <c r="E77" s="118" t="s">
        <v>157</v>
      </c>
      <c r="F77" s="217">
        <v>76.680000000000007</v>
      </c>
    </row>
    <row r="78" spans="1:6" x14ac:dyDescent="0.2">
      <c r="B78" s="119" t="s">
        <v>180</v>
      </c>
      <c r="C78" s="120" t="s">
        <v>161</v>
      </c>
      <c r="D78" s="119" t="s">
        <v>178</v>
      </c>
      <c r="E78" s="118" t="s">
        <v>157</v>
      </c>
      <c r="F78" s="217">
        <v>74.42</v>
      </c>
    </row>
    <row r="79" spans="1:6" x14ac:dyDescent="0.2">
      <c r="B79" s="119" t="s">
        <v>181</v>
      </c>
      <c r="C79" s="120" t="s">
        <v>163</v>
      </c>
      <c r="D79" s="119" t="s">
        <v>178</v>
      </c>
      <c r="E79" s="118" t="s">
        <v>157</v>
      </c>
      <c r="F79" s="217">
        <v>9.5</v>
      </c>
    </row>
    <row r="80" spans="1:6" x14ac:dyDescent="0.2">
      <c r="B80" s="119" t="s">
        <v>182</v>
      </c>
      <c r="C80" s="120" t="s">
        <v>165</v>
      </c>
      <c r="D80" s="119" t="s">
        <v>178</v>
      </c>
      <c r="E80" s="118" t="s">
        <v>157</v>
      </c>
      <c r="F80"/>
    </row>
    <row r="81" spans="1:6" x14ac:dyDescent="0.2">
      <c r="B81" s="119" t="s">
        <v>183</v>
      </c>
      <c r="C81" s="120" t="s">
        <v>167</v>
      </c>
      <c r="D81" s="119" t="s">
        <v>178</v>
      </c>
      <c r="E81" s="118" t="s">
        <v>157</v>
      </c>
      <c r="F81"/>
    </row>
    <row r="82" spans="1:6" x14ac:dyDescent="0.2">
      <c r="B82" s="119" t="s">
        <v>184</v>
      </c>
      <c r="C82" s="120" t="s">
        <v>169</v>
      </c>
      <c r="D82" s="119" t="s">
        <v>178</v>
      </c>
      <c r="E82" s="118" t="s">
        <v>157</v>
      </c>
      <c r="F82"/>
    </row>
    <row r="83" spans="1:6" x14ac:dyDescent="0.2">
      <c r="B83" s="119" t="s">
        <v>185</v>
      </c>
      <c r="C83" s="120" t="s">
        <v>171</v>
      </c>
      <c r="D83" s="119" t="s">
        <v>172</v>
      </c>
      <c r="E83" s="118" t="s">
        <v>157</v>
      </c>
      <c r="F83"/>
    </row>
    <row r="84" spans="1:6" x14ac:dyDescent="0.2">
      <c r="B84" s="118" t="s">
        <v>186</v>
      </c>
      <c r="C84" s="118" t="s">
        <v>187</v>
      </c>
      <c r="D84" s="119" t="s">
        <v>176</v>
      </c>
      <c r="E84" s="118" t="s">
        <v>157</v>
      </c>
      <c r="F84"/>
    </row>
    <row r="85" spans="1:6" x14ac:dyDescent="0.2">
      <c r="A85" s="118" t="s">
        <v>132</v>
      </c>
      <c r="B85" s="119" t="s">
        <v>177</v>
      </c>
      <c r="C85" s="120" t="s">
        <v>155</v>
      </c>
      <c r="D85" s="119" t="s">
        <v>178</v>
      </c>
      <c r="E85" s="118" t="s">
        <v>157</v>
      </c>
      <c r="F85" s="217">
        <v>71.099999999999994</v>
      </c>
    </row>
    <row r="86" spans="1:6" x14ac:dyDescent="0.2">
      <c r="B86" s="119" t="s">
        <v>179</v>
      </c>
      <c r="C86" s="120" t="s">
        <v>159</v>
      </c>
      <c r="D86" s="119" t="s">
        <v>178</v>
      </c>
      <c r="E86" s="118" t="s">
        <v>157</v>
      </c>
      <c r="F86" s="217">
        <v>72.53</v>
      </c>
    </row>
    <row r="87" spans="1:6" x14ac:dyDescent="0.2">
      <c r="B87" s="119" t="s">
        <v>180</v>
      </c>
      <c r="C87" s="120" t="s">
        <v>161</v>
      </c>
      <c r="D87" s="119" t="s">
        <v>178</v>
      </c>
      <c r="E87" s="118" t="s">
        <v>157</v>
      </c>
      <c r="F87" s="217">
        <v>71.819999999999993</v>
      </c>
    </row>
    <row r="88" spans="1:6" x14ac:dyDescent="0.2">
      <c r="B88" s="119" t="s">
        <v>181</v>
      </c>
      <c r="C88" s="120" t="s">
        <v>163</v>
      </c>
      <c r="D88" s="119" t="s">
        <v>178</v>
      </c>
      <c r="E88" s="118" t="s">
        <v>157</v>
      </c>
      <c r="F88" s="217">
        <v>-6</v>
      </c>
    </row>
    <row r="89" spans="1:6" x14ac:dyDescent="0.2">
      <c r="B89" s="119" t="s">
        <v>182</v>
      </c>
      <c r="C89" s="120" t="s">
        <v>165</v>
      </c>
      <c r="D89" s="119" t="s">
        <v>178</v>
      </c>
      <c r="E89" s="118" t="s">
        <v>157</v>
      </c>
      <c r="F89"/>
    </row>
    <row r="90" spans="1:6" x14ac:dyDescent="0.2">
      <c r="B90" s="119" t="s">
        <v>183</v>
      </c>
      <c r="C90" s="120" t="s">
        <v>167</v>
      </c>
      <c r="D90" s="119" t="s">
        <v>178</v>
      </c>
      <c r="E90" s="118" t="s">
        <v>157</v>
      </c>
      <c r="F90"/>
    </row>
    <row r="91" spans="1:6" x14ac:dyDescent="0.2">
      <c r="B91" s="119" t="s">
        <v>184</v>
      </c>
      <c r="C91" s="120" t="s">
        <v>169</v>
      </c>
      <c r="D91" s="119" t="s">
        <v>178</v>
      </c>
      <c r="E91" s="118" t="s">
        <v>157</v>
      </c>
      <c r="F91"/>
    </row>
    <row r="92" spans="1:6" x14ac:dyDescent="0.2">
      <c r="B92" s="119" t="s">
        <v>185</v>
      </c>
      <c r="C92" s="120" t="s">
        <v>171</v>
      </c>
      <c r="D92" s="119" t="s">
        <v>172</v>
      </c>
      <c r="E92" s="118" t="s">
        <v>157</v>
      </c>
      <c r="F92"/>
    </row>
    <row r="93" spans="1:6" x14ac:dyDescent="0.2">
      <c r="B93" s="118" t="s">
        <v>186</v>
      </c>
      <c r="C93" s="118" t="s">
        <v>187</v>
      </c>
      <c r="D93" s="119" t="s">
        <v>176</v>
      </c>
      <c r="E93" s="118" t="s">
        <v>157</v>
      </c>
      <c r="F93"/>
    </row>
    <row r="94" spans="1:6" x14ac:dyDescent="0.2">
      <c r="A94" s="118" t="s">
        <v>134</v>
      </c>
      <c r="B94" s="119" t="s">
        <v>177</v>
      </c>
      <c r="C94" s="120" t="s">
        <v>155</v>
      </c>
      <c r="D94" s="119" t="s">
        <v>178</v>
      </c>
      <c r="E94" s="118" t="s">
        <v>157</v>
      </c>
      <c r="F94" s="217">
        <v>72.61</v>
      </c>
    </row>
    <row r="95" spans="1:6" x14ac:dyDescent="0.2">
      <c r="B95" s="119" t="s">
        <v>179</v>
      </c>
      <c r="C95" s="120" t="s">
        <v>159</v>
      </c>
      <c r="D95" s="119" t="s">
        <v>178</v>
      </c>
      <c r="E95" s="118" t="s">
        <v>157</v>
      </c>
      <c r="F95" s="217">
        <v>76.87</v>
      </c>
    </row>
    <row r="96" spans="1:6" x14ac:dyDescent="0.2">
      <c r="B96" s="119" t="s">
        <v>180</v>
      </c>
      <c r="C96" s="120" t="s">
        <v>161</v>
      </c>
      <c r="D96" s="119" t="s">
        <v>178</v>
      </c>
      <c r="E96" s="118" t="s">
        <v>157</v>
      </c>
      <c r="F96" s="217">
        <v>74.739999999999995</v>
      </c>
    </row>
    <row r="97" spans="1:7" x14ac:dyDescent="0.2">
      <c r="B97" s="119" t="s">
        <v>181</v>
      </c>
      <c r="C97" s="120" t="s">
        <v>163</v>
      </c>
      <c r="D97" s="119" t="s">
        <v>178</v>
      </c>
      <c r="E97" s="118" t="s">
        <v>157</v>
      </c>
      <c r="F97" s="217">
        <v>11.5</v>
      </c>
    </row>
    <row r="98" spans="1:7" x14ac:dyDescent="0.2">
      <c r="B98" s="119" t="s">
        <v>182</v>
      </c>
      <c r="C98" s="120" t="s">
        <v>165</v>
      </c>
      <c r="D98" s="119" t="s">
        <v>178</v>
      </c>
      <c r="E98" s="118" t="s">
        <v>157</v>
      </c>
      <c r="F98"/>
    </row>
    <row r="99" spans="1:7" x14ac:dyDescent="0.2">
      <c r="B99" s="119" t="s">
        <v>183</v>
      </c>
      <c r="C99" s="120" t="s">
        <v>167</v>
      </c>
      <c r="D99" s="119" t="s">
        <v>178</v>
      </c>
      <c r="E99" s="118" t="s">
        <v>157</v>
      </c>
      <c r="F99"/>
    </row>
    <row r="100" spans="1:7" x14ac:dyDescent="0.2">
      <c r="B100" s="119" t="s">
        <v>184</v>
      </c>
      <c r="C100" s="120" t="s">
        <v>169</v>
      </c>
      <c r="D100" s="119" t="s">
        <v>178</v>
      </c>
      <c r="E100" s="118" t="s">
        <v>157</v>
      </c>
      <c r="F100"/>
      <c r="G100" s="119"/>
    </row>
    <row r="101" spans="1:7" x14ac:dyDescent="0.2">
      <c r="B101" s="119" t="s">
        <v>185</v>
      </c>
      <c r="C101" s="120" t="s">
        <v>171</v>
      </c>
      <c r="D101" s="119" t="s">
        <v>172</v>
      </c>
      <c r="E101" s="118" t="s">
        <v>157</v>
      </c>
      <c r="F101"/>
    </row>
    <row r="102" spans="1:7" x14ac:dyDescent="0.2">
      <c r="B102" s="118" t="s">
        <v>186</v>
      </c>
      <c r="C102" s="118" t="s">
        <v>187</v>
      </c>
      <c r="D102" s="119" t="s">
        <v>176</v>
      </c>
      <c r="E102" s="118" t="s">
        <v>157</v>
      </c>
      <c r="F102"/>
    </row>
    <row r="103" spans="1:7" x14ac:dyDescent="0.2">
      <c r="A103" s="118" t="s">
        <v>136</v>
      </c>
      <c r="B103" s="119" t="s">
        <v>177</v>
      </c>
      <c r="C103" s="120" t="s">
        <v>155</v>
      </c>
      <c r="D103" s="119" t="s">
        <v>178</v>
      </c>
      <c r="E103" s="118" t="s">
        <v>157</v>
      </c>
      <c r="F103" s="217">
        <v>70.55</v>
      </c>
    </row>
    <row r="104" spans="1:7" x14ac:dyDescent="0.2">
      <c r="B104" s="119" t="s">
        <v>179</v>
      </c>
      <c r="C104" s="120" t="s">
        <v>159</v>
      </c>
      <c r="D104" s="119" t="s">
        <v>178</v>
      </c>
      <c r="E104" s="118" t="s">
        <v>157</v>
      </c>
      <c r="F104" s="217">
        <v>68.400000000000006</v>
      </c>
    </row>
    <row r="105" spans="1:7" x14ac:dyDescent="0.2">
      <c r="B105" s="119" t="s">
        <v>180</v>
      </c>
      <c r="C105" s="120" t="s">
        <v>161</v>
      </c>
      <c r="D105" s="119" t="s">
        <v>178</v>
      </c>
      <c r="E105" s="118" t="s">
        <v>157</v>
      </c>
      <c r="F105" s="217">
        <v>69.48</v>
      </c>
    </row>
    <row r="106" spans="1:7" x14ac:dyDescent="0.2">
      <c r="B106" s="119" t="s">
        <v>181</v>
      </c>
      <c r="C106" s="120" t="s">
        <v>163</v>
      </c>
      <c r="D106" s="119" t="s">
        <v>178</v>
      </c>
      <c r="E106" s="118" t="s">
        <v>157</v>
      </c>
      <c r="F106" s="217">
        <v>-12</v>
      </c>
    </row>
    <row r="107" spans="1:7" x14ac:dyDescent="0.2">
      <c r="B107" s="119" t="s">
        <v>182</v>
      </c>
      <c r="C107" s="120" t="s">
        <v>165</v>
      </c>
      <c r="D107" s="119" t="s">
        <v>178</v>
      </c>
      <c r="E107" s="118" t="s">
        <v>157</v>
      </c>
      <c r="F107"/>
    </row>
    <row r="108" spans="1:7" x14ac:dyDescent="0.2">
      <c r="B108" s="119" t="s">
        <v>183</v>
      </c>
      <c r="C108" s="120" t="s">
        <v>167</v>
      </c>
      <c r="D108" s="119" t="s">
        <v>178</v>
      </c>
      <c r="E108" s="118" t="s">
        <v>157</v>
      </c>
      <c r="F108"/>
    </row>
    <row r="109" spans="1:7" x14ac:dyDescent="0.2">
      <c r="B109" s="119" t="s">
        <v>184</v>
      </c>
      <c r="C109" s="120" t="s">
        <v>169</v>
      </c>
      <c r="D109" s="119" t="s">
        <v>178</v>
      </c>
      <c r="E109" s="118" t="s">
        <v>157</v>
      </c>
      <c r="F109"/>
      <c r="G109" s="119"/>
    </row>
    <row r="110" spans="1:7" x14ac:dyDescent="0.2">
      <c r="B110" s="119" t="s">
        <v>185</v>
      </c>
      <c r="C110" s="120" t="s">
        <v>171</v>
      </c>
      <c r="D110" s="119" t="s">
        <v>172</v>
      </c>
      <c r="E110" s="118" t="s">
        <v>157</v>
      </c>
      <c r="F110"/>
    </row>
    <row r="111" spans="1:7" x14ac:dyDescent="0.2">
      <c r="B111" s="118" t="s">
        <v>186</v>
      </c>
      <c r="C111" s="118" t="s">
        <v>187</v>
      </c>
      <c r="D111" s="119" t="s">
        <v>176</v>
      </c>
      <c r="E111" s="118" t="s">
        <v>157</v>
      </c>
      <c r="F111"/>
    </row>
    <row r="112" spans="1:7" x14ac:dyDescent="0.2">
      <c r="A112" s="118" t="s">
        <v>138</v>
      </c>
      <c r="B112" s="119" t="s">
        <v>177</v>
      </c>
      <c r="C112" s="120" t="s">
        <v>155</v>
      </c>
      <c r="D112" s="119" t="s">
        <v>178</v>
      </c>
      <c r="E112" s="118" t="s">
        <v>157</v>
      </c>
      <c r="F112" s="217">
        <v>63.44</v>
      </c>
    </row>
    <row r="113" spans="1:6" x14ac:dyDescent="0.2">
      <c r="B113" s="119" t="s">
        <v>179</v>
      </c>
      <c r="C113" s="120" t="s">
        <v>159</v>
      </c>
      <c r="D113" s="119" t="s">
        <v>178</v>
      </c>
      <c r="E113" s="118" t="s">
        <v>157</v>
      </c>
      <c r="F113" s="217">
        <v>66.83</v>
      </c>
    </row>
    <row r="114" spans="1:6" x14ac:dyDescent="0.2">
      <c r="B114" s="119" t="s">
        <v>180</v>
      </c>
      <c r="C114" s="120" t="s">
        <v>161</v>
      </c>
      <c r="D114" s="119" t="s">
        <v>178</v>
      </c>
      <c r="E114" s="118" t="s">
        <v>157</v>
      </c>
      <c r="F114" s="217">
        <v>65.13</v>
      </c>
    </row>
    <row r="115" spans="1:6" x14ac:dyDescent="0.2">
      <c r="B115" s="119" t="s">
        <v>181</v>
      </c>
      <c r="C115" s="120" t="s">
        <v>163</v>
      </c>
      <c r="D115" s="119" t="s">
        <v>178</v>
      </c>
      <c r="E115" s="118" t="s">
        <v>157</v>
      </c>
      <c r="F115" s="217">
        <v>-22.5</v>
      </c>
    </row>
    <row r="116" spans="1:6" x14ac:dyDescent="0.2">
      <c r="B116" s="119" t="s">
        <v>182</v>
      </c>
      <c r="C116" s="120" t="s">
        <v>165</v>
      </c>
      <c r="D116" s="119" t="s">
        <v>178</v>
      </c>
      <c r="E116" s="118" t="s">
        <v>157</v>
      </c>
      <c r="F116"/>
    </row>
    <row r="117" spans="1:6" x14ac:dyDescent="0.2">
      <c r="B117" s="119" t="s">
        <v>183</v>
      </c>
      <c r="C117" s="120" t="s">
        <v>167</v>
      </c>
      <c r="D117" s="119" t="s">
        <v>178</v>
      </c>
      <c r="E117" s="118" t="s">
        <v>157</v>
      </c>
      <c r="F117"/>
    </row>
    <row r="118" spans="1:6" x14ac:dyDescent="0.2">
      <c r="B118" s="119" t="s">
        <v>184</v>
      </c>
      <c r="C118" s="120" t="s">
        <v>169</v>
      </c>
      <c r="D118" s="119" t="s">
        <v>178</v>
      </c>
      <c r="E118" s="118" t="s">
        <v>157</v>
      </c>
      <c r="F118"/>
    </row>
    <row r="119" spans="1:6" x14ac:dyDescent="0.2">
      <c r="B119" s="119" t="s">
        <v>185</v>
      </c>
      <c r="C119" s="120" t="s">
        <v>171</v>
      </c>
      <c r="D119" s="119" t="s">
        <v>172</v>
      </c>
      <c r="E119" s="118" t="s">
        <v>157</v>
      </c>
      <c r="F119"/>
    </row>
    <row r="120" spans="1:6" x14ac:dyDescent="0.2">
      <c r="B120" s="118" t="s">
        <v>186</v>
      </c>
      <c r="C120" s="118" t="s">
        <v>187</v>
      </c>
      <c r="D120" s="119" t="s">
        <v>176</v>
      </c>
      <c r="E120" s="118" t="s">
        <v>157</v>
      </c>
      <c r="F120"/>
    </row>
    <row r="121" spans="1:6" x14ac:dyDescent="0.2">
      <c r="A121" s="118" t="s">
        <v>140</v>
      </c>
      <c r="B121" s="119" t="s">
        <v>177</v>
      </c>
      <c r="C121" s="120" t="s">
        <v>155</v>
      </c>
      <c r="D121" s="119" t="s">
        <v>178</v>
      </c>
      <c r="E121" s="118" t="s">
        <v>157</v>
      </c>
      <c r="F121" s="217">
        <v>57.98</v>
      </c>
    </row>
    <row r="122" spans="1:6" x14ac:dyDescent="0.2">
      <c r="B122" s="119" t="s">
        <v>179</v>
      </c>
      <c r="C122" s="120" t="s">
        <v>159</v>
      </c>
      <c r="D122" s="119" t="s">
        <v>178</v>
      </c>
      <c r="E122" s="118" t="s">
        <v>157</v>
      </c>
      <c r="F122" s="217">
        <v>64.900000000000006</v>
      </c>
    </row>
    <row r="123" spans="1:6" x14ac:dyDescent="0.2">
      <c r="B123" s="119" t="s">
        <v>180</v>
      </c>
      <c r="C123" s="120" t="s">
        <v>161</v>
      </c>
      <c r="D123" s="119" t="s">
        <v>178</v>
      </c>
      <c r="E123" s="118" t="s">
        <v>157</v>
      </c>
      <c r="F123" s="217">
        <v>61.44</v>
      </c>
    </row>
    <row r="124" spans="1:6" x14ac:dyDescent="0.2">
      <c r="B124" s="119" t="s">
        <v>181</v>
      </c>
      <c r="C124" s="120" t="s">
        <v>163</v>
      </c>
      <c r="D124" s="119" t="s">
        <v>178</v>
      </c>
      <c r="E124" s="118" t="s">
        <v>157</v>
      </c>
      <c r="F124" s="217">
        <v>-31.5</v>
      </c>
    </row>
    <row r="125" spans="1:6" x14ac:dyDescent="0.2">
      <c r="B125" s="119" t="s">
        <v>182</v>
      </c>
      <c r="C125" s="120" t="s">
        <v>165</v>
      </c>
      <c r="D125" s="119" t="s">
        <v>178</v>
      </c>
      <c r="E125" s="118" t="s">
        <v>157</v>
      </c>
      <c r="F125"/>
    </row>
    <row r="126" spans="1:6" x14ac:dyDescent="0.2">
      <c r="B126" s="119" t="s">
        <v>183</v>
      </c>
      <c r="C126" s="120" t="s">
        <v>167</v>
      </c>
      <c r="D126" s="119" t="s">
        <v>178</v>
      </c>
      <c r="E126" s="118" t="s">
        <v>157</v>
      </c>
      <c r="F126"/>
    </row>
    <row r="127" spans="1:6" x14ac:dyDescent="0.2">
      <c r="B127" s="119" t="s">
        <v>184</v>
      </c>
      <c r="C127" s="120" t="s">
        <v>169</v>
      </c>
      <c r="D127" s="119" t="s">
        <v>178</v>
      </c>
      <c r="E127" s="118" t="s">
        <v>157</v>
      </c>
      <c r="F127"/>
    </row>
    <row r="128" spans="1:6" x14ac:dyDescent="0.2">
      <c r="B128" s="119" t="s">
        <v>185</v>
      </c>
      <c r="C128" s="120" t="s">
        <v>171</v>
      </c>
      <c r="D128" s="119" t="s">
        <v>172</v>
      </c>
      <c r="E128" s="118" t="s">
        <v>157</v>
      </c>
      <c r="F128"/>
    </row>
    <row r="129" spans="1:6" x14ac:dyDescent="0.2">
      <c r="B129" s="118" t="s">
        <v>186</v>
      </c>
      <c r="C129" s="118" t="s">
        <v>187</v>
      </c>
      <c r="D129" s="119" t="s">
        <v>176</v>
      </c>
      <c r="E129" s="118" t="s">
        <v>157</v>
      </c>
      <c r="F129"/>
    </row>
    <row r="130" spans="1:6" x14ac:dyDescent="0.2">
      <c r="A130" s="118" t="s">
        <v>188</v>
      </c>
      <c r="B130" s="119" t="s">
        <v>177</v>
      </c>
      <c r="C130" s="120" t="s">
        <v>155</v>
      </c>
      <c r="D130" s="119" t="s">
        <v>178</v>
      </c>
      <c r="E130" s="118" t="s">
        <v>157</v>
      </c>
      <c r="F130" s="217">
        <v>76.760000000000005</v>
      </c>
    </row>
    <row r="131" spans="1:6" x14ac:dyDescent="0.2">
      <c r="B131" s="119" t="s">
        <v>179</v>
      </c>
      <c r="C131" s="120" t="s">
        <v>159</v>
      </c>
      <c r="D131" s="119" t="s">
        <v>178</v>
      </c>
      <c r="E131" s="118" t="s">
        <v>157</v>
      </c>
      <c r="F131" s="217">
        <v>75.959999999999994</v>
      </c>
    </row>
    <row r="132" spans="1:6" x14ac:dyDescent="0.2">
      <c r="B132" s="119" t="s">
        <v>180</v>
      </c>
      <c r="C132" s="120" t="s">
        <v>161</v>
      </c>
      <c r="D132" s="119" t="s">
        <v>178</v>
      </c>
      <c r="E132" s="118" t="s">
        <v>157</v>
      </c>
      <c r="F132" s="217">
        <v>76.36</v>
      </c>
    </row>
    <row r="133" spans="1:6" x14ac:dyDescent="0.2">
      <c r="B133" s="119" t="s">
        <v>181</v>
      </c>
      <c r="C133" s="120" t="s">
        <v>163</v>
      </c>
      <c r="D133" s="119" t="s">
        <v>178</v>
      </c>
      <c r="E133" s="118" t="s">
        <v>157</v>
      </c>
      <c r="F133" s="217">
        <v>11</v>
      </c>
    </row>
    <row r="134" spans="1:6" x14ac:dyDescent="0.2">
      <c r="B134" s="119" t="s">
        <v>182</v>
      </c>
      <c r="C134" s="120" t="s">
        <v>165</v>
      </c>
      <c r="D134" s="119" t="s">
        <v>178</v>
      </c>
      <c r="E134" s="118" t="s">
        <v>157</v>
      </c>
      <c r="F134"/>
    </row>
    <row r="135" spans="1:6" x14ac:dyDescent="0.2">
      <c r="B135" s="119" t="s">
        <v>183</v>
      </c>
      <c r="C135" s="120" t="s">
        <v>167</v>
      </c>
      <c r="D135" s="119" t="s">
        <v>178</v>
      </c>
      <c r="E135" s="118" t="s">
        <v>157</v>
      </c>
      <c r="F135"/>
    </row>
    <row r="136" spans="1:6" x14ac:dyDescent="0.2">
      <c r="B136" s="119" t="s">
        <v>184</v>
      </c>
      <c r="C136" s="120" t="s">
        <v>169</v>
      </c>
      <c r="D136" s="119" t="s">
        <v>178</v>
      </c>
      <c r="E136" s="118" t="s">
        <v>157</v>
      </c>
      <c r="F136"/>
    </row>
    <row r="137" spans="1:6" x14ac:dyDescent="0.2">
      <c r="B137" s="119" t="s">
        <v>185</v>
      </c>
      <c r="C137" s="120" t="s">
        <v>171</v>
      </c>
      <c r="D137" s="119" t="s">
        <v>172</v>
      </c>
      <c r="E137" s="118" t="s">
        <v>157</v>
      </c>
      <c r="F137"/>
    </row>
    <row r="138" spans="1:6" x14ac:dyDescent="0.2">
      <c r="B138" s="118" t="s">
        <v>186</v>
      </c>
      <c r="C138" s="118" t="s">
        <v>187</v>
      </c>
      <c r="D138" s="119" t="s">
        <v>176</v>
      </c>
      <c r="E138" s="118" t="s">
        <v>157</v>
      </c>
      <c r="F138"/>
    </row>
    <row r="139" spans="1:6" x14ac:dyDescent="0.2">
      <c r="A139" s="118" t="s">
        <v>144</v>
      </c>
      <c r="B139" s="119" t="s">
        <v>177</v>
      </c>
      <c r="C139" s="120" t="s">
        <v>155</v>
      </c>
      <c r="D139" s="119" t="s">
        <v>178</v>
      </c>
      <c r="E139" s="118" t="s">
        <v>157</v>
      </c>
      <c r="F139" s="217">
        <v>82.29</v>
      </c>
    </row>
    <row r="140" spans="1:6" x14ac:dyDescent="0.2">
      <c r="B140" s="119" t="s">
        <v>179</v>
      </c>
      <c r="C140" s="120" t="s">
        <v>159</v>
      </c>
      <c r="D140" s="119" t="s">
        <v>178</v>
      </c>
      <c r="E140" s="118" t="s">
        <v>157</v>
      </c>
      <c r="F140" s="217">
        <v>77.13</v>
      </c>
    </row>
    <row r="141" spans="1:6" x14ac:dyDescent="0.2">
      <c r="B141" s="119" t="s">
        <v>180</v>
      </c>
      <c r="C141" s="120" t="s">
        <v>161</v>
      </c>
      <c r="D141" s="119" t="s">
        <v>178</v>
      </c>
      <c r="E141" s="118" t="s">
        <v>157</v>
      </c>
      <c r="F141" s="217">
        <v>79.709999999999994</v>
      </c>
    </row>
    <row r="142" spans="1:6" x14ac:dyDescent="0.2">
      <c r="B142" s="119" t="s">
        <v>181</v>
      </c>
      <c r="C142" s="120" t="s">
        <v>163</v>
      </c>
      <c r="D142" s="119" t="s">
        <v>178</v>
      </c>
      <c r="E142" s="118" t="s">
        <v>157</v>
      </c>
      <c r="F142" s="217">
        <v>24</v>
      </c>
    </row>
    <row r="143" spans="1:6" x14ac:dyDescent="0.2">
      <c r="B143" s="119" t="s">
        <v>182</v>
      </c>
      <c r="C143" s="120" t="s">
        <v>165</v>
      </c>
      <c r="D143" s="119" t="s">
        <v>178</v>
      </c>
      <c r="E143" s="118" t="s">
        <v>157</v>
      </c>
      <c r="F143"/>
    </row>
    <row r="144" spans="1:6" x14ac:dyDescent="0.2">
      <c r="B144" s="119" t="s">
        <v>183</v>
      </c>
      <c r="C144" s="120" t="s">
        <v>167</v>
      </c>
      <c r="D144" s="119" t="s">
        <v>178</v>
      </c>
      <c r="E144" s="118" t="s">
        <v>157</v>
      </c>
      <c r="F144"/>
    </row>
    <row r="145" spans="1:6" x14ac:dyDescent="0.2">
      <c r="B145" s="119" t="s">
        <v>184</v>
      </c>
      <c r="C145" s="120" t="s">
        <v>169</v>
      </c>
      <c r="D145" s="119" t="s">
        <v>178</v>
      </c>
      <c r="E145" s="118" t="s">
        <v>157</v>
      </c>
      <c r="F145"/>
    </row>
    <row r="146" spans="1:6" x14ac:dyDescent="0.2">
      <c r="B146" s="119" t="s">
        <v>185</v>
      </c>
      <c r="C146" s="120" t="s">
        <v>171</v>
      </c>
      <c r="D146" s="119" t="s">
        <v>172</v>
      </c>
      <c r="E146" s="118" t="s">
        <v>157</v>
      </c>
      <c r="F146"/>
    </row>
    <row r="147" spans="1:6" x14ac:dyDescent="0.2">
      <c r="B147" s="118" t="s">
        <v>186</v>
      </c>
      <c r="C147" s="118" t="s">
        <v>187</v>
      </c>
      <c r="D147" s="119" t="s">
        <v>176</v>
      </c>
      <c r="E147" s="118" t="s">
        <v>157</v>
      </c>
      <c r="F147"/>
    </row>
    <row r="148" spans="1:6" x14ac:dyDescent="0.2">
      <c r="A148" s="118" t="s">
        <v>146</v>
      </c>
      <c r="B148" s="119" t="s">
        <v>177</v>
      </c>
      <c r="C148" s="120" t="s">
        <v>155</v>
      </c>
      <c r="D148" s="119" t="s">
        <v>178</v>
      </c>
      <c r="E148" s="118" t="s">
        <v>157</v>
      </c>
      <c r="F148" s="217">
        <v>73</v>
      </c>
    </row>
    <row r="149" spans="1:6" x14ac:dyDescent="0.2">
      <c r="B149" s="119" t="s">
        <v>179</v>
      </c>
      <c r="C149" s="120" t="s">
        <v>159</v>
      </c>
      <c r="D149" s="119" t="s">
        <v>178</v>
      </c>
      <c r="E149" s="118" t="s">
        <v>157</v>
      </c>
      <c r="F149" s="217">
        <v>75.95</v>
      </c>
    </row>
    <row r="150" spans="1:6" x14ac:dyDescent="0.2">
      <c r="B150" s="119" t="s">
        <v>180</v>
      </c>
      <c r="C150" s="120" t="s">
        <v>161</v>
      </c>
      <c r="D150" s="119" t="s">
        <v>178</v>
      </c>
      <c r="E150" s="118" t="s">
        <v>157</v>
      </c>
      <c r="F150" s="217">
        <v>74.48</v>
      </c>
    </row>
    <row r="151" spans="1:6" x14ac:dyDescent="0.2">
      <c r="B151" s="119" t="s">
        <v>181</v>
      </c>
      <c r="C151" s="120" t="s">
        <v>163</v>
      </c>
      <c r="D151" s="119" t="s">
        <v>178</v>
      </c>
      <c r="E151" s="118" t="s">
        <v>157</v>
      </c>
      <c r="F151" s="217">
        <v>11</v>
      </c>
    </row>
    <row r="152" spans="1:6" x14ac:dyDescent="0.2">
      <c r="B152" s="119" t="s">
        <v>182</v>
      </c>
      <c r="C152" s="120" t="s">
        <v>165</v>
      </c>
      <c r="D152" s="119" t="s">
        <v>178</v>
      </c>
      <c r="E152" s="118" t="s">
        <v>157</v>
      </c>
      <c r="F152"/>
    </row>
    <row r="153" spans="1:6" x14ac:dyDescent="0.2">
      <c r="B153" s="119" t="s">
        <v>183</v>
      </c>
      <c r="C153" s="120" t="s">
        <v>167</v>
      </c>
      <c r="D153" s="119" t="s">
        <v>178</v>
      </c>
      <c r="E153" s="118" t="s">
        <v>157</v>
      </c>
      <c r="F153"/>
    </row>
    <row r="154" spans="1:6" x14ac:dyDescent="0.2">
      <c r="B154" s="119" t="s">
        <v>184</v>
      </c>
      <c r="C154" s="120" t="s">
        <v>169</v>
      </c>
      <c r="D154" s="119" t="s">
        <v>178</v>
      </c>
      <c r="E154" s="118" t="s">
        <v>157</v>
      </c>
      <c r="F154"/>
    </row>
    <row r="155" spans="1:6" x14ac:dyDescent="0.2">
      <c r="B155" s="119" t="s">
        <v>185</v>
      </c>
      <c r="C155" s="120" t="s">
        <v>171</v>
      </c>
      <c r="D155" s="119" t="s">
        <v>172</v>
      </c>
      <c r="E155" s="118" t="s">
        <v>157</v>
      </c>
      <c r="F155"/>
    </row>
    <row r="156" spans="1:6" x14ac:dyDescent="0.2">
      <c r="B156" s="118" t="s">
        <v>186</v>
      </c>
      <c r="C156" s="118" t="s">
        <v>187</v>
      </c>
      <c r="D156" s="119" t="s">
        <v>176</v>
      </c>
      <c r="E156" s="118" t="s">
        <v>157</v>
      </c>
      <c r="F156"/>
    </row>
  </sheetData>
  <phoneticPr fontId="51" type="noConversion"/>
  <pageMargins left="0.70866141732283472" right="0.70866141732283472" top="0.74803149606299213" bottom="0.74803149606299213" header="0.31496062992125984" footer="0.31496062992125984"/>
  <pageSetup paperSize="8" scale="91" fitToHeight="0" orientation="landscape"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31462-5458-45DD-A84A-48EAB8A59386}">
  <sheetPr>
    <tabColor rgb="FFFFFF99"/>
    <pageSetUpPr fitToPage="1"/>
  </sheetPr>
  <dimension ref="A1:F156"/>
  <sheetViews>
    <sheetView zoomScale="80" zoomScaleNormal="80" workbookViewId="0"/>
  </sheetViews>
  <sheetFormatPr defaultColWidth="9.140625" defaultRowHeight="12.75" x14ac:dyDescent="0.2"/>
  <cols>
    <col min="1" max="1" width="9.140625" style="118"/>
    <col min="2" max="2" width="18.28515625" style="118" bestFit="1" customWidth="1"/>
    <col min="3" max="3" width="81.85546875" style="118" bestFit="1" customWidth="1"/>
    <col min="4" max="4" width="9.140625" style="118"/>
    <col min="5" max="5" width="28.85546875" style="118" bestFit="1" customWidth="1"/>
    <col min="6" max="6" width="13.5703125" style="118" bestFit="1" customWidth="1"/>
    <col min="7" max="16384" width="9.140625" style="118"/>
  </cols>
  <sheetData>
    <row r="1" spans="1:6" x14ac:dyDescent="0.2">
      <c r="A1" s="118" t="str">
        <f ca="1" xml:space="preserve"> RIGHT(CELL("filename", $A$1), LEN(CELL("filename", $A$1)) - SEARCH("]", CELL("filename", $A$1)))</f>
        <v>InpActive</v>
      </c>
    </row>
    <row r="2" spans="1:6" x14ac:dyDescent="0.2">
      <c r="A2" s="118" t="s">
        <v>112</v>
      </c>
      <c r="B2" s="118" t="s">
        <v>149</v>
      </c>
      <c r="C2" s="118" t="s">
        <v>150</v>
      </c>
      <c r="D2" s="118" t="s">
        <v>151</v>
      </c>
      <c r="E2" s="118" t="s">
        <v>152</v>
      </c>
      <c r="F2" s="118" t="str">
        <f xml:space="preserve"> F_Inputs!$F$2</f>
        <v>2023-24</v>
      </c>
    </row>
    <row r="4" spans="1:6" x14ac:dyDescent="0.2">
      <c r="A4" s="118" t="s">
        <v>114</v>
      </c>
      <c r="B4" s="119" t="s">
        <v>177</v>
      </c>
      <c r="C4" s="120" t="s">
        <v>155</v>
      </c>
      <c r="D4" s="119" t="s">
        <v>178</v>
      </c>
      <c r="E4" s="118" t="s">
        <v>157</v>
      </c>
      <c r="F4" s="121">
        <f xml:space="preserve"> IF( InpOverride!F4 = "", F_Inputs!F4, InpOverride!F4 )</f>
        <v>65.400000000000006</v>
      </c>
    </row>
    <row r="5" spans="1:6" x14ac:dyDescent="0.2">
      <c r="B5" s="119" t="s">
        <v>179</v>
      </c>
      <c r="C5" s="120" t="s">
        <v>159</v>
      </c>
      <c r="D5" s="119" t="s">
        <v>178</v>
      </c>
      <c r="E5" s="118" t="s">
        <v>157</v>
      </c>
      <c r="F5" s="121">
        <f xml:space="preserve"> IF( InpOverride!F5 = "", F_Inputs!F5, InpOverride!F5 )</f>
        <v>74.790000000000006</v>
      </c>
    </row>
    <row r="6" spans="1:6" x14ac:dyDescent="0.2">
      <c r="B6" s="119" t="s">
        <v>180</v>
      </c>
      <c r="C6" s="120" t="s">
        <v>161</v>
      </c>
      <c r="D6" s="119" t="s">
        <v>178</v>
      </c>
      <c r="E6" s="118" t="s">
        <v>157</v>
      </c>
      <c r="F6" s="121">
        <f xml:space="preserve"> IF( InpOverride!F6 = "", F_Inputs!F6, InpOverride!F6 )</f>
        <v>70.099999999999994</v>
      </c>
    </row>
    <row r="7" spans="1:6" x14ac:dyDescent="0.2">
      <c r="B7" s="119" t="s">
        <v>181</v>
      </c>
      <c r="C7" s="120" t="s">
        <v>163</v>
      </c>
      <c r="D7" s="119" t="s">
        <v>178</v>
      </c>
      <c r="E7" s="118" t="s">
        <v>157</v>
      </c>
      <c r="F7" s="121">
        <f xml:space="preserve"> IF( InpOverride!F7 = "", F_Inputs!F7, InpOverride!F7 )</f>
        <v>-5.5</v>
      </c>
    </row>
    <row r="8" spans="1:6" x14ac:dyDescent="0.2">
      <c r="B8" s="119" t="s">
        <v>182</v>
      </c>
      <c r="C8" s="120" t="s">
        <v>165</v>
      </c>
      <c r="D8" s="119" t="s">
        <v>178</v>
      </c>
      <c r="E8" s="118" t="s">
        <v>157</v>
      </c>
      <c r="F8" s="121">
        <f xml:space="preserve"> IF( InpOverride!F8 = "", F_Inputs!F8, InpOverride!F8 )</f>
        <v>10285</v>
      </c>
    </row>
    <row r="9" spans="1:6" x14ac:dyDescent="0.2">
      <c r="B9" s="119" t="s">
        <v>183</v>
      </c>
      <c r="C9" s="120" t="s">
        <v>167</v>
      </c>
      <c r="D9" s="119" t="s">
        <v>178</v>
      </c>
      <c r="E9" s="118" t="s">
        <v>157</v>
      </c>
      <c r="F9" s="121">
        <f xml:space="preserve"> IF( InpOverride!F9 = "", F_Inputs!F9, InpOverride!F9 )</f>
        <v>1508900</v>
      </c>
    </row>
    <row r="10" spans="1:6" x14ac:dyDescent="0.2">
      <c r="B10" s="119" t="s">
        <v>184</v>
      </c>
      <c r="C10" s="120" t="s">
        <v>169</v>
      </c>
      <c r="D10" s="119" t="s">
        <v>178</v>
      </c>
      <c r="E10" s="118" t="s">
        <v>157</v>
      </c>
      <c r="F10" s="121">
        <f xml:space="preserve"> IF( InpOverride!F10 = "", F_Inputs!F10, InpOverride!F10 )</f>
        <v>68.162237391477234</v>
      </c>
    </row>
    <row r="11" spans="1:6" x14ac:dyDescent="0.2">
      <c r="B11" s="119" t="s">
        <v>185</v>
      </c>
      <c r="C11" s="120" t="s">
        <v>171</v>
      </c>
      <c r="D11" s="119" t="s">
        <v>172</v>
      </c>
      <c r="E11" s="118" t="s">
        <v>157</v>
      </c>
      <c r="F11" s="121" t="str">
        <f xml:space="preserve"> IF( InpOverride!F11 = "", F_Inputs!F11, InpOverride!F11 )</f>
        <v>true</v>
      </c>
    </row>
    <row r="12" spans="1:6" x14ac:dyDescent="0.2">
      <c r="B12" s="118" t="s">
        <v>186</v>
      </c>
      <c r="C12" s="118" t="s">
        <v>187</v>
      </c>
      <c r="D12" s="119" t="s">
        <v>176</v>
      </c>
      <c r="E12" s="118" t="s">
        <v>157</v>
      </c>
      <c r="F12" s="121">
        <f xml:space="preserve"> IF( InpOverride!F12 = "", F_Inputs!F12, InpOverride!F12 )</f>
        <v>27.849449529215899</v>
      </c>
    </row>
    <row r="13" spans="1:6" x14ac:dyDescent="0.2">
      <c r="A13" s="118" t="s">
        <v>116</v>
      </c>
      <c r="B13" s="119" t="s">
        <v>177</v>
      </c>
      <c r="C13" s="120" t="s">
        <v>155</v>
      </c>
      <c r="D13" s="119" t="s">
        <v>178</v>
      </c>
      <c r="E13" s="118" t="s">
        <v>157</v>
      </c>
      <c r="F13" s="121">
        <f xml:space="preserve"> IF( InpOverride!F13 = "", F_Inputs!F13, InpOverride!F13 )</f>
        <v>78.77</v>
      </c>
    </row>
    <row r="14" spans="1:6" x14ac:dyDescent="0.2">
      <c r="B14" s="119" t="s">
        <v>179</v>
      </c>
      <c r="C14" s="120" t="s">
        <v>159</v>
      </c>
      <c r="D14" s="119" t="s">
        <v>178</v>
      </c>
      <c r="E14" s="118" t="s">
        <v>157</v>
      </c>
      <c r="F14" s="121">
        <f xml:space="preserve"> IF( InpOverride!F14 = "", F_Inputs!F14, InpOverride!F14 )</f>
        <v>75.98</v>
      </c>
    </row>
    <row r="15" spans="1:6" x14ac:dyDescent="0.2">
      <c r="B15" s="119" t="s">
        <v>180</v>
      </c>
      <c r="C15" s="120" t="s">
        <v>161</v>
      </c>
      <c r="D15" s="119" t="s">
        <v>178</v>
      </c>
      <c r="E15" s="118" t="s">
        <v>157</v>
      </c>
      <c r="F15" s="121">
        <f xml:space="preserve"> IF( InpOverride!F15 = "", F_Inputs!F15, InpOverride!F15 )</f>
        <v>77.38</v>
      </c>
    </row>
    <row r="16" spans="1:6" x14ac:dyDescent="0.2">
      <c r="B16" s="119" t="s">
        <v>181</v>
      </c>
      <c r="C16" s="120" t="s">
        <v>163</v>
      </c>
      <c r="D16" s="119" t="s">
        <v>178</v>
      </c>
      <c r="E16" s="118" t="s">
        <v>157</v>
      </c>
      <c r="F16" s="121">
        <f xml:space="preserve"> IF( InpOverride!F16 = "", F_Inputs!F16, InpOverride!F16 )</f>
        <v>13.5</v>
      </c>
    </row>
    <row r="17" spans="1:6" x14ac:dyDescent="0.2">
      <c r="B17" s="119" t="s">
        <v>182</v>
      </c>
      <c r="C17" s="120" t="s">
        <v>165</v>
      </c>
      <c r="D17" s="119" t="s">
        <v>178</v>
      </c>
      <c r="E17" s="118" t="s">
        <v>157</v>
      </c>
      <c r="F17" s="121">
        <f xml:space="preserve"> IF( InpOverride!F17 = "", F_Inputs!F17, InpOverride!F17 )</f>
        <v>11837</v>
      </c>
    </row>
    <row r="18" spans="1:6" x14ac:dyDescent="0.2">
      <c r="B18" s="119" t="s">
        <v>183</v>
      </c>
      <c r="C18" s="120" t="s">
        <v>167</v>
      </c>
      <c r="D18" s="119" t="s">
        <v>178</v>
      </c>
      <c r="E18" s="118" t="s">
        <v>157</v>
      </c>
      <c r="F18" s="121">
        <f xml:space="preserve"> IF( InpOverride!F18 = "", F_Inputs!F18, InpOverride!F18 )</f>
        <v>3112980</v>
      </c>
    </row>
    <row r="19" spans="1:6" x14ac:dyDescent="0.2">
      <c r="B19" s="119" t="s">
        <v>184</v>
      </c>
      <c r="C19" s="120" t="s">
        <v>169</v>
      </c>
      <c r="D19" s="119" t="s">
        <v>178</v>
      </c>
      <c r="E19" s="118" t="s">
        <v>157</v>
      </c>
      <c r="F19" s="121">
        <f xml:space="preserve"> IF( InpOverride!F19 = "", F_Inputs!F19, InpOverride!F19 )</f>
        <v>38.024658044703102</v>
      </c>
    </row>
    <row r="20" spans="1:6" x14ac:dyDescent="0.2">
      <c r="B20" s="119" t="s">
        <v>185</v>
      </c>
      <c r="C20" s="120" t="s">
        <v>171</v>
      </c>
      <c r="D20" s="119" t="s">
        <v>172</v>
      </c>
      <c r="E20" s="118" t="s">
        <v>157</v>
      </c>
      <c r="F20" s="121" t="b">
        <f xml:space="preserve"> IF( InpOverride!F20 = "", F_Inputs!F20, InpOverride!F20 )</f>
        <v>1</v>
      </c>
    </row>
    <row r="21" spans="1:6" x14ac:dyDescent="0.2">
      <c r="B21" s="118" t="s">
        <v>186</v>
      </c>
      <c r="C21" s="118" t="s">
        <v>187</v>
      </c>
      <c r="D21" s="119" t="s">
        <v>176</v>
      </c>
      <c r="E21" s="118" t="s">
        <v>157</v>
      </c>
      <c r="F21" s="121">
        <f xml:space="preserve"> IF( InpOverride!F21 = "", F_Inputs!F21, InpOverride!F21 )</f>
        <v>95.454594103550804</v>
      </c>
    </row>
    <row r="22" spans="1:6" x14ac:dyDescent="0.2">
      <c r="A22" s="118" t="s">
        <v>118</v>
      </c>
      <c r="B22" s="119" t="s">
        <v>177</v>
      </c>
      <c r="C22" s="120" t="s">
        <v>155</v>
      </c>
      <c r="D22" s="119" t="s">
        <v>178</v>
      </c>
      <c r="E22" s="118" t="s">
        <v>157</v>
      </c>
      <c r="F22" s="121">
        <f xml:space="preserve"> IF( InpOverride!F22 = "", F_Inputs!F22, InpOverride!F22 )</f>
        <v>78.92</v>
      </c>
    </row>
    <row r="23" spans="1:6" x14ac:dyDescent="0.2">
      <c r="B23" s="119" t="s">
        <v>179</v>
      </c>
      <c r="C23" s="120" t="s">
        <v>159</v>
      </c>
      <c r="D23" s="119" t="s">
        <v>178</v>
      </c>
      <c r="E23" s="118" t="s">
        <v>157</v>
      </c>
      <c r="F23" s="121">
        <f xml:space="preserve"> IF( InpOverride!F23 = "", F_Inputs!F23, InpOverride!F23 )</f>
        <v>76.59</v>
      </c>
    </row>
    <row r="24" spans="1:6" x14ac:dyDescent="0.2">
      <c r="B24" s="119" t="s">
        <v>180</v>
      </c>
      <c r="C24" s="120" t="s">
        <v>161</v>
      </c>
      <c r="D24" s="119" t="s">
        <v>178</v>
      </c>
      <c r="E24" s="118" t="s">
        <v>157</v>
      </c>
      <c r="F24" s="121">
        <f xml:space="preserve"> IF( InpOverride!F24 = "", F_Inputs!F24, InpOverride!F24 )</f>
        <v>77.760000000000005</v>
      </c>
    </row>
    <row r="25" spans="1:6" x14ac:dyDescent="0.2">
      <c r="B25" s="119" t="s">
        <v>181</v>
      </c>
      <c r="C25" s="120" t="s">
        <v>163</v>
      </c>
      <c r="D25" s="119" t="s">
        <v>178</v>
      </c>
      <c r="E25" s="118" t="s">
        <v>157</v>
      </c>
      <c r="F25" s="121">
        <f xml:space="preserve"> IF( InpOverride!F25 = "", F_Inputs!F25, InpOverride!F25 )</f>
        <v>18</v>
      </c>
    </row>
    <row r="26" spans="1:6" x14ac:dyDescent="0.2">
      <c r="B26" s="119" t="s">
        <v>182</v>
      </c>
      <c r="C26" s="120" t="s">
        <v>165</v>
      </c>
      <c r="D26" s="119" t="s">
        <v>178</v>
      </c>
      <c r="E26" s="118" t="s">
        <v>157</v>
      </c>
      <c r="F26" s="121">
        <f xml:space="preserve"> IF( InpOverride!F26 = "", F_Inputs!F26, InpOverride!F26 )</f>
        <v>1236</v>
      </c>
    </row>
    <row r="27" spans="1:6" x14ac:dyDescent="0.2">
      <c r="B27" s="119" t="s">
        <v>183</v>
      </c>
      <c r="C27" s="120" t="s">
        <v>167</v>
      </c>
      <c r="D27" s="119" t="s">
        <v>178</v>
      </c>
      <c r="E27" s="118" t="s">
        <v>157</v>
      </c>
      <c r="F27" s="121">
        <f xml:space="preserve"> IF( InpOverride!F27 = "", F_Inputs!F27, InpOverride!F27 )</f>
        <v>528043</v>
      </c>
    </row>
    <row r="28" spans="1:6" x14ac:dyDescent="0.2">
      <c r="B28" s="119" t="s">
        <v>184</v>
      </c>
      <c r="C28" s="120" t="s">
        <v>169</v>
      </c>
      <c r="D28" s="119" t="s">
        <v>178</v>
      </c>
      <c r="E28" s="118" t="s">
        <v>157</v>
      </c>
      <c r="F28" s="121">
        <f xml:space="preserve"> IF( InpOverride!F28 = "", F_Inputs!F28, InpOverride!F28 )</f>
        <v>23.407184642159823</v>
      </c>
    </row>
    <row r="29" spans="1:6" x14ac:dyDescent="0.2">
      <c r="B29" s="119" t="s">
        <v>185</v>
      </c>
      <c r="C29" s="120" t="s">
        <v>171</v>
      </c>
      <c r="D29" s="119" t="s">
        <v>172</v>
      </c>
      <c r="E29" s="118" t="s">
        <v>157</v>
      </c>
      <c r="F29" s="121" t="str">
        <f xml:space="preserve"> IF( InpOverride!F29 = "", F_Inputs!F29, InpOverride!F29 )</f>
        <v>true</v>
      </c>
    </row>
    <row r="30" spans="1:6" x14ac:dyDescent="0.2">
      <c r="B30" s="118" t="s">
        <v>186</v>
      </c>
      <c r="C30" s="118" t="s">
        <v>187</v>
      </c>
      <c r="D30" s="119" t="s">
        <v>176</v>
      </c>
      <c r="E30" s="118" t="s">
        <v>157</v>
      </c>
      <c r="F30" s="121">
        <f xml:space="preserve"> IF( InpOverride!F30 = "", F_Inputs!F30, InpOverride!F30 )</f>
        <v>12.1660468531585</v>
      </c>
    </row>
    <row r="31" spans="1:6" x14ac:dyDescent="0.2">
      <c r="A31" s="118" t="s">
        <v>120</v>
      </c>
      <c r="B31" s="119" t="s">
        <v>177</v>
      </c>
      <c r="C31" s="120" t="s">
        <v>155</v>
      </c>
      <c r="D31" s="119" t="s">
        <v>178</v>
      </c>
      <c r="E31" s="118" t="s">
        <v>157</v>
      </c>
      <c r="F31" s="121">
        <f xml:space="preserve"> IF( InpOverride!F31 = "", F_Inputs!F31, InpOverride!F31 )</f>
        <v>79.75</v>
      </c>
    </row>
    <row r="32" spans="1:6" x14ac:dyDescent="0.2">
      <c r="B32" s="119" t="s">
        <v>179</v>
      </c>
      <c r="C32" s="120" t="s">
        <v>159</v>
      </c>
      <c r="D32" s="119" t="s">
        <v>178</v>
      </c>
      <c r="E32" s="118" t="s">
        <v>157</v>
      </c>
      <c r="F32" s="121">
        <f xml:space="preserve"> IF( InpOverride!F32 = "", F_Inputs!F32, InpOverride!F32 )</f>
        <v>79.38</v>
      </c>
    </row>
    <row r="33" spans="1:6" x14ac:dyDescent="0.2">
      <c r="B33" s="119" t="s">
        <v>180</v>
      </c>
      <c r="C33" s="120" t="s">
        <v>161</v>
      </c>
      <c r="D33" s="119" t="s">
        <v>178</v>
      </c>
      <c r="E33" s="118" t="s">
        <v>157</v>
      </c>
      <c r="F33" s="121">
        <f xml:space="preserve"> IF( InpOverride!F33 = "", F_Inputs!F33, InpOverride!F33 )</f>
        <v>79.56</v>
      </c>
    </row>
    <row r="34" spans="1:6" x14ac:dyDescent="0.2">
      <c r="B34" s="119" t="s">
        <v>181</v>
      </c>
      <c r="C34" s="120" t="s">
        <v>163</v>
      </c>
      <c r="D34" s="119" t="s">
        <v>178</v>
      </c>
      <c r="E34" s="118" t="s">
        <v>157</v>
      </c>
      <c r="F34" s="121">
        <f xml:space="preserve"> IF( InpOverride!F34 = "", F_Inputs!F34, InpOverride!F34 )</f>
        <v>28.5</v>
      </c>
    </row>
    <row r="35" spans="1:6" x14ac:dyDescent="0.2">
      <c r="B35" s="119" t="s">
        <v>182</v>
      </c>
      <c r="C35" s="120" t="s">
        <v>165</v>
      </c>
      <c r="D35" s="119" t="s">
        <v>178</v>
      </c>
      <c r="E35" s="118" t="s">
        <v>157</v>
      </c>
      <c r="F35" s="121">
        <f xml:space="preserve"> IF( InpOverride!F35 = "", F_Inputs!F35, InpOverride!F35 )</f>
        <v>9308</v>
      </c>
    </row>
    <row r="36" spans="1:6" x14ac:dyDescent="0.2">
      <c r="B36" s="119" t="s">
        <v>183</v>
      </c>
      <c r="C36" s="120" t="s">
        <v>167</v>
      </c>
      <c r="D36" s="119" t="s">
        <v>178</v>
      </c>
      <c r="E36" s="118" t="s">
        <v>157</v>
      </c>
      <c r="F36" s="121">
        <f xml:space="preserve"> IF( InpOverride!F36 = "", F_Inputs!F36, InpOverride!F36 )</f>
        <v>1499056</v>
      </c>
    </row>
    <row r="37" spans="1:6" x14ac:dyDescent="0.2">
      <c r="B37" s="119" t="s">
        <v>184</v>
      </c>
      <c r="C37" s="120" t="s">
        <v>169</v>
      </c>
      <c r="D37" s="119" t="s">
        <v>178</v>
      </c>
      <c r="E37" s="118" t="s">
        <v>157</v>
      </c>
      <c r="F37" s="121">
        <f xml:space="preserve"> IF( InpOverride!F37 = "", F_Inputs!F37, InpOverride!F37 )</f>
        <v>62.092410156792006</v>
      </c>
    </row>
    <row r="38" spans="1:6" x14ac:dyDescent="0.2">
      <c r="B38" s="119" t="s">
        <v>185</v>
      </c>
      <c r="C38" s="120" t="s">
        <v>171</v>
      </c>
      <c r="D38" s="119" t="s">
        <v>172</v>
      </c>
      <c r="E38" s="118" t="s">
        <v>157</v>
      </c>
      <c r="F38" s="121" t="str">
        <f xml:space="preserve"> IF( InpOverride!F38 = "", F_Inputs!F38, InpOverride!F38 )</f>
        <v>true</v>
      </c>
    </row>
    <row r="39" spans="1:6" x14ac:dyDescent="0.2">
      <c r="B39" s="118" t="s">
        <v>186</v>
      </c>
      <c r="C39" s="118" t="s">
        <v>187</v>
      </c>
      <c r="D39" s="119" t="s">
        <v>176</v>
      </c>
      <c r="E39" s="118" t="s">
        <v>157</v>
      </c>
      <c r="F39" s="121">
        <f xml:space="preserve"> IF( InpOverride!F39 = "", F_Inputs!F39, InpOverride!F39 )</f>
        <v>49.0706295680897</v>
      </c>
    </row>
    <row r="40" spans="1:6" x14ac:dyDescent="0.2">
      <c r="A40" s="118" t="s">
        <v>122</v>
      </c>
      <c r="B40" s="119" t="s">
        <v>177</v>
      </c>
      <c r="C40" s="120" t="s">
        <v>155</v>
      </c>
      <c r="D40" s="119" t="s">
        <v>178</v>
      </c>
      <c r="E40" s="118" t="s">
        <v>157</v>
      </c>
      <c r="F40" s="121">
        <f xml:space="preserve"> IF( InpOverride!F40 = "", F_Inputs!F40, InpOverride!F40 )</f>
        <v>75.45</v>
      </c>
    </row>
    <row r="41" spans="1:6" x14ac:dyDescent="0.2">
      <c r="B41" s="119" t="s">
        <v>179</v>
      </c>
      <c r="C41" s="120" t="s">
        <v>159</v>
      </c>
      <c r="D41" s="119" t="s">
        <v>178</v>
      </c>
      <c r="E41" s="118" t="s">
        <v>157</v>
      </c>
      <c r="F41" s="121">
        <f xml:space="preserve"> IF( InpOverride!F41 = "", F_Inputs!F41, InpOverride!F41 )</f>
        <v>79.77</v>
      </c>
    </row>
    <row r="42" spans="1:6" x14ac:dyDescent="0.2">
      <c r="B42" s="119" t="s">
        <v>180</v>
      </c>
      <c r="C42" s="120" t="s">
        <v>161</v>
      </c>
      <c r="D42" s="119" t="s">
        <v>178</v>
      </c>
      <c r="E42" s="118" t="s">
        <v>157</v>
      </c>
      <c r="F42" s="121">
        <f xml:space="preserve"> IF( InpOverride!F42 = "", F_Inputs!F42, InpOverride!F42 )</f>
        <v>77.61</v>
      </c>
    </row>
    <row r="43" spans="1:6" x14ac:dyDescent="0.2">
      <c r="B43" s="119" t="s">
        <v>181</v>
      </c>
      <c r="C43" s="120" t="s">
        <v>163</v>
      </c>
      <c r="D43" s="119" t="s">
        <v>178</v>
      </c>
      <c r="E43" s="118" t="s">
        <v>157</v>
      </c>
      <c r="F43" s="121">
        <f xml:space="preserve"> IF( InpOverride!F43 = "", F_Inputs!F43, InpOverride!F43 )</f>
        <v>20</v>
      </c>
    </row>
    <row r="44" spans="1:6" x14ac:dyDescent="0.2">
      <c r="B44" s="119" t="s">
        <v>182</v>
      </c>
      <c r="C44" s="120" t="s">
        <v>165</v>
      </c>
      <c r="D44" s="119" t="s">
        <v>178</v>
      </c>
      <c r="E44" s="118" t="s">
        <v>157</v>
      </c>
      <c r="F44" s="121">
        <f xml:space="preserve"> IF( InpOverride!F44 = "", F_Inputs!F44, InpOverride!F44 )</f>
        <v>227</v>
      </c>
    </row>
    <row r="45" spans="1:6" x14ac:dyDescent="0.2">
      <c r="B45" s="119" t="s">
        <v>183</v>
      </c>
      <c r="C45" s="120" t="s">
        <v>167</v>
      </c>
      <c r="D45" s="119" t="s">
        <v>178</v>
      </c>
      <c r="E45" s="118" t="s">
        <v>157</v>
      </c>
      <c r="F45" s="121">
        <f xml:space="preserve"> IF( InpOverride!F45 = "", F_Inputs!F45, InpOverride!F45 )</f>
        <v>100848</v>
      </c>
    </row>
    <row r="46" spans="1:6" x14ac:dyDescent="0.2">
      <c r="B46" s="119" t="s">
        <v>184</v>
      </c>
      <c r="C46" s="120" t="s">
        <v>169</v>
      </c>
      <c r="D46" s="119" t="s">
        <v>178</v>
      </c>
      <c r="E46" s="118" t="s">
        <v>157</v>
      </c>
      <c r="F46" s="121">
        <f xml:space="preserve"> IF( InpOverride!F46 = "", F_Inputs!F46, InpOverride!F46 )</f>
        <v>22.509122640012695</v>
      </c>
    </row>
    <row r="47" spans="1:6" x14ac:dyDescent="0.2">
      <c r="B47" s="119" t="s">
        <v>185</v>
      </c>
      <c r="C47" s="120" t="s">
        <v>171</v>
      </c>
      <c r="D47" s="119" t="s">
        <v>172</v>
      </c>
      <c r="E47" s="118" t="s">
        <v>157</v>
      </c>
      <c r="F47" s="121" t="str">
        <f xml:space="preserve"> IF( InpOverride!F47 = "", F_Inputs!F47, InpOverride!F47 )</f>
        <v>true</v>
      </c>
    </row>
    <row r="48" spans="1:6" x14ac:dyDescent="0.2">
      <c r="B48" s="118" t="s">
        <v>186</v>
      </c>
      <c r="C48" s="118" t="s">
        <v>187</v>
      </c>
      <c r="D48" s="119" t="s">
        <v>176</v>
      </c>
      <c r="E48" s="118" t="s">
        <v>157</v>
      </c>
      <c r="F48" s="121">
        <f xml:space="preserve"> IF( InpOverride!F48 = "", F_Inputs!F48, InpOverride!F48 )</f>
        <v>2.9098685944812801</v>
      </c>
    </row>
    <row r="49" spans="1:6" x14ac:dyDescent="0.2">
      <c r="A49" s="118" t="s">
        <v>124</v>
      </c>
      <c r="B49" s="119" t="s">
        <v>177</v>
      </c>
      <c r="C49" s="120" t="s">
        <v>155</v>
      </c>
      <c r="D49" s="119" t="s">
        <v>178</v>
      </c>
      <c r="E49" s="118" t="s">
        <v>157</v>
      </c>
      <c r="F49" s="121">
        <f xml:space="preserve"> IF( InpOverride!F49 = "", F_Inputs!F49, InpOverride!F49 )</f>
        <v>82.21</v>
      </c>
    </row>
    <row r="50" spans="1:6" x14ac:dyDescent="0.2">
      <c r="B50" s="119" t="s">
        <v>179</v>
      </c>
      <c r="C50" s="120" t="s">
        <v>159</v>
      </c>
      <c r="D50" s="119" t="s">
        <v>178</v>
      </c>
      <c r="E50" s="118" t="s">
        <v>157</v>
      </c>
      <c r="F50" s="121">
        <f xml:space="preserve"> IF( InpOverride!F50 = "", F_Inputs!F50, InpOverride!F50 )</f>
        <v>78.52</v>
      </c>
    </row>
    <row r="51" spans="1:6" x14ac:dyDescent="0.2">
      <c r="B51" s="119" t="s">
        <v>180</v>
      </c>
      <c r="C51" s="120" t="s">
        <v>161</v>
      </c>
      <c r="D51" s="119" t="s">
        <v>178</v>
      </c>
      <c r="E51" s="118" t="s">
        <v>157</v>
      </c>
      <c r="F51" s="121">
        <f xml:space="preserve"> IF( InpOverride!F51 = "", F_Inputs!F51, InpOverride!F51 )</f>
        <v>80.36</v>
      </c>
    </row>
    <row r="52" spans="1:6" x14ac:dyDescent="0.2">
      <c r="B52" s="119" t="s">
        <v>181</v>
      </c>
      <c r="C52" s="120" t="s">
        <v>163</v>
      </c>
      <c r="D52" s="119" t="s">
        <v>178</v>
      </c>
      <c r="E52" s="118" t="s">
        <v>157</v>
      </c>
      <c r="F52" s="121">
        <f xml:space="preserve"> IF( InpOverride!F52 = "", F_Inputs!F52, InpOverride!F52 )</f>
        <v>26</v>
      </c>
    </row>
    <row r="53" spans="1:6" x14ac:dyDescent="0.2">
      <c r="B53" s="119" t="s">
        <v>182</v>
      </c>
      <c r="C53" s="120" t="s">
        <v>165</v>
      </c>
      <c r="D53" s="119" t="s">
        <v>178</v>
      </c>
      <c r="E53" s="118" t="s">
        <v>157</v>
      </c>
      <c r="F53" s="121">
        <f xml:space="preserve"> IF( InpOverride!F53 = "", F_Inputs!F53, InpOverride!F53 )</f>
        <v>6992</v>
      </c>
    </row>
    <row r="54" spans="1:6" x14ac:dyDescent="0.2">
      <c r="B54" s="119" t="s">
        <v>183</v>
      </c>
      <c r="C54" s="120" t="s">
        <v>167</v>
      </c>
      <c r="D54" s="119" t="s">
        <v>178</v>
      </c>
      <c r="E54" s="118" t="s">
        <v>157</v>
      </c>
      <c r="F54" s="121">
        <f xml:space="preserve"> IF( InpOverride!F54 = "", F_Inputs!F54, InpOverride!F54 )</f>
        <v>2061472</v>
      </c>
    </row>
    <row r="55" spans="1:6" x14ac:dyDescent="0.2">
      <c r="B55" s="119" t="s">
        <v>184</v>
      </c>
      <c r="C55" s="120" t="s">
        <v>169</v>
      </c>
      <c r="D55" s="119" t="s">
        <v>178</v>
      </c>
      <c r="E55" s="118" t="s">
        <v>157</v>
      </c>
      <c r="F55" s="121">
        <f xml:space="preserve"> IF( InpOverride!F55 = "", F_Inputs!F55, InpOverride!F55 )</f>
        <v>33.917511370515825</v>
      </c>
    </row>
    <row r="56" spans="1:6" x14ac:dyDescent="0.2">
      <c r="B56" s="119" t="s">
        <v>185</v>
      </c>
      <c r="C56" s="120" t="s">
        <v>171</v>
      </c>
      <c r="D56" s="119" t="s">
        <v>172</v>
      </c>
      <c r="E56" s="118" t="s">
        <v>157</v>
      </c>
      <c r="F56" s="121" t="str">
        <f xml:space="preserve"> IF( InpOverride!F56 = "", F_Inputs!F56, InpOverride!F56 )</f>
        <v>true</v>
      </c>
    </row>
    <row r="57" spans="1:6" x14ac:dyDescent="0.2">
      <c r="B57" s="118" t="s">
        <v>186</v>
      </c>
      <c r="C57" s="118" t="s">
        <v>187</v>
      </c>
      <c r="D57" s="119" t="s">
        <v>176</v>
      </c>
      <c r="E57" s="118" t="s">
        <v>157</v>
      </c>
      <c r="F57" s="121">
        <f xml:space="preserve"> IF( InpOverride!F57 = "", F_Inputs!F57, InpOverride!F57 )</f>
        <v>65.236250473582899</v>
      </c>
    </row>
    <row r="58" spans="1:6" x14ac:dyDescent="0.2">
      <c r="A58" s="118" t="s">
        <v>126</v>
      </c>
      <c r="B58" s="119" t="s">
        <v>177</v>
      </c>
      <c r="C58" s="120" t="s">
        <v>155</v>
      </c>
      <c r="D58" s="119" t="s">
        <v>178</v>
      </c>
      <c r="E58" s="118" t="s">
        <v>157</v>
      </c>
      <c r="F58" s="121">
        <f xml:space="preserve"> IF( InpOverride!F58 = "", F_Inputs!F58, InpOverride!F58 )</f>
        <v>79.67</v>
      </c>
    </row>
    <row r="59" spans="1:6" x14ac:dyDescent="0.2">
      <c r="B59" s="119" t="s">
        <v>179</v>
      </c>
      <c r="C59" s="120" t="s">
        <v>159</v>
      </c>
      <c r="D59" s="119" t="s">
        <v>178</v>
      </c>
      <c r="E59" s="118" t="s">
        <v>157</v>
      </c>
      <c r="F59" s="121">
        <f xml:space="preserve"> IF( InpOverride!F59 = "", F_Inputs!F59, InpOverride!F59 )</f>
        <v>75.900000000000006</v>
      </c>
    </row>
    <row r="60" spans="1:6" x14ac:dyDescent="0.2">
      <c r="B60" s="119" t="s">
        <v>180</v>
      </c>
      <c r="C60" s="120" t="s">
        <v>161</v>
      </c>
      <c r="D60" s="119" t="s">
        <v>178</v>
      </c>
      <c r="E60" s="118" t="s">
        <v>157</v>
      </c>
      <c r="F60" s="121">
        <f xml:space="preserve"> IF( InpOverride!F60 = "", F_Inputs!F60, InpOverride!F60 )</f>
        <v>77.78</v>
      </c>
    </row>
    <row r="61" spans="1:6" x14ac:dyDescent="0.2">
      <c r="B61" s="119" t="s">
        <v>181</v>
      </c>
      <c r="C61" s="120" t="s">
        <v>163</v>
      </c>
      <c r="D61" s="119" t="s">
        <v>178</v>
      </c>
      <c r="E61" s="118" t="s">
        <v>157</v>
      </c>
      <c r="F61" s="121">
        <f xml:space="preserve"> IF( InpOverride!F61 = "", F_Inputs!F61, InpOverride!F61 )</f>
        <v>20</v>
      </c>
    </row>
    <row r="62" spans="1:6" x14ac:dyDescent="0.2">
      <c r="B62" s="119" t="s">
        <v>182</v>
      </c>
      <c r="C62" s="120" t="s">
        <v>165</v>
      </c>
      <c r="D62" s="119" t="s">
        <v>178</v>
      </c>
      <c r="E62" s="118" t="s">
        <v>157</v>
      </c>
      <c r="F62" s="121">
        <f xml:space="preserve"> IF( InpOverride!F62 = "", F_Inputs!F62, InpOverride!F62 )</f>
        <v>754</v>
      </c>
    </row>
    <row r="63" spans="1:6" x14ac:dyDescent="0.2">
      <c r="B63" s="119" t="s">
        <v>183</v>
      </c>
      <c r="C63" s="120" t="s">
        <v>167</v>
      </c>
      <c r="D63" s="119" t="s">
        <v>178</v>
      </c>
      <c r="E63" s="118" t="s">
        <v>157</v>
      </c>
      <c r="F63" s="121">
        <f xml:space="preserve"> IF( InpOverride!F63 = "", F_Inputs!F63, InpOverride!F63 )</f>
        <v>310725</v>
      </c>
    </row>
    <row r="64" spans="1:6" x14ac:dyDescent="0.2">
      <c r="B64" s="119" t="s">
        <v>184</v>
      </c>
      <c r="C64" s="120" t="s">
        <v>169</v>
      </c>
      <c r="D64" s="119" t="s">
        <v>178</v>
      </c>
      <c r="E64" s="118" t="s">
        <v>157</v>
      </c>
      <c r="F64" s="121">
        <f xml:space="preserve"> IF( InpOverride!F64 = "", F_Inputs!F64, InpOverride!F64 )</f>
        <v>24.265829913911016</v>
      </c>
    </row>
    <row r="65" spans="1:6" x14ac:dyDescent="0.2">
      <c r="B65" s="119" t="s">
        <v>185</v>
      </c>
      <c r="C65" s="120" t="s">
        <v>171</v>
      </c>
      <c r="D65" s="119" t="s">
        <v>172</v>
      </c>
      <c r="E65" s="118" t="s">
        <v>157</v>
      </c>
      <c r="F65" s="121" t="str">
        <f xml:space="preserve"> IF( InpOverride!F65 = "", F_Inputs!F65, InpOverride!F65 )</f>
        <v>true</v>
      </c>
    </row>
    <row r="66" spans="1:6" x14ac:dyDescent="0.2">
      <c r="B66" s="118" t="s">
        <v>186</v>
      </c>
      <c r="C66" s="118" t="s">
        <v>187</v>
      </c>
      <c r="D66" s="119" t="s">
        <v>176</v>
      </c>
      <c r="E66" s="118" t="s">
        <v>157</v>
      </c>
      <c r="F66" s="121">
        <f xml:space="preserve"> IF( InpOverride!F66 = "", F_Inputs!F66, InpOverride!F66 )</f>
        <v>5.17844985008285</v>
      </c>
    </row>
    <row r="67" spans="1:6" x14ac:dyDescent="0.2">
      <c r="A67" s="118" t="s">
        <v>128</v>
      </c>
      <c r="B67" s="119" t="s">
        <v>177</v>
      </c>
      <c r="C67" s="120" t="s">
        <v>155</v>
      </c>
      <c r="D67" s="119" t="s">
        <v>178</v>
      </c>
      <c r="E67" s="118" t="s">
        <v>157</v>
      </c>
      <c r="F67" s="121">
        <f xml:space="preserve"> IF( InpOverride!F67 = "", F_Inputs!F67, InpOverride!F67 )</f>
        <v>66.12</v>
      </c>
    </row>
    <row r="68" spans="1:6" x14ac:dyDescent="0.2">
      <c r="B68" s="119" t="s">
        <v>179</v>
      </c>
      <c r="C68" s="120" t="s">
        <v>159</v>
      </c>
      <c r="D68" s="119" t="s">
        <v>178</v>
      </c>
      <c r="E68" s="118" t="s">
        <v>157</v>
      </c>
      <c r="F68" s="121">
        <f xml:space="preserve"> IF( InpOverride!F68 = "", F_Inputs!F68, InpOverride!F68 )</f>
        <v>73.31</v>
      </c>
    </row>
    <row r="69" spans="1:6" x14ac:dyDescent="0.2">
      <c r="B69" s="119" t="s">
        <v>180</v>
      </c>
      <c r="C69" s="120" t="s">
        <v>161</v>
      </c>
      <c r="D69" s="119" t="s">
        <v>178</v>
      </c>
      <c r="E69" s="118" t="s">
        <v>157</v>
      </c>
      <c r="F69" s="121">
        <f xml:space="preserve"> IF( InpOverride!F69 = "", F_Inputs!F69, InpOverride!F69 )</f>
        <v>69.72</v>
      </c>
    </row>
    <row r="70" spans="1:6" x14ac:dyDescent="0.2">
      <c r="B70" s="119" t="s">
        <v>181</v>
      </c>
      <c r="C70" s="120" t="s">
        <v>163</v>
      </c>
      <c r="D70" s="119" t="s">
        <v>178</v>
      </c>
      <c r="E70" s="118" t="s">
        <v>157</v>
      </c>
      <c r="F70" s="121">
        <f xml:space="preserve"> IF( InpOverride!F70 = "", F_Inputs!F70, InpOverride!F70 )</f>
        <v>-9</v>
      </c>
    </row>
    <row r="71" spans="1:6" x14ac:dyDescent="0.2">
      <c r="B71" s="119" t="s">
        <v>182</v>
      </c>
      <c r="C71" s="120" t="s">
        <v>165</v>
      </c>
      <c r="D71" s="119" t="s">
        <v>178</v>
      </c>
      <c r="E71" s="118" t="s">
        <v>157</v>
      </c>
      <c r="F71" s="121">
        <f xml:space="preserve"> IF( InpOverride!F71 = "", F_Inputs!F71, InpOverride!F71 )</f>
        <v>1465</v>
      </c>
    </row>
    <row r="72" spans="1:6" x14ac:dyDescent="0.2">
      <c r="B72" s="119" t="s">
        <v>183</v>
      </c>
      <c r="C72" s="120" t="s">
        <v>167</v>
      </c>
      <c r="D72" s="119" t="s">
        <v>178</v>
      </c>
      <c r="E72" s="118" t="s">
        <v>157</v>
      </c>
      <c r="F72" s="121">
        <f xml:space="preserve"> IF( InpOverride!F72 = "", F_Inputs!F72, InpOverride!F72 )</f>
        <v>289054</v>
      </c>
    </row>
    <row r="73" spans="1:6" x14ac:dyDescent="0.2">
      <c r="B73" s="119" t="s">
        <v>184</v>
      </c>
      <c r="C73" s="120" t="s">
        <v>169</v>
      </c>
      <c r="D73" s="119" t="s">
        <v>178</v>
      </c>
      <c r="E73" s="118" t="s">
        <v>157</v>
      </c>
      <c r="F73" s="121">
        <f xml:space="preserve"> IF( InpOverride!F73 = "", F_Inputs!F73, InpOverride!F73 )</f>
        <v>50.682571422640748</v>
      </c>
    </row>
    <row r="74" spans="1:6" x14ac:dyDescent="0.2">
      <c r="B74" s="119" t="s">
        <v>185</v>
      </c>
      <c r="C74" s="120" t="s">
        <v>171</v>
      </c>
      <c r="D74" s="119" t="s">
        <v>172</v>
      </c>
      <c r="E74" s="118" t="s">
        <v>157</v>
      </c>
      <c r="F74" s="121" t="str">
        <f xml:space="preserve"> IF( InpOverride!F74 = "", F_Inputs!F74, InpOverride!F74 )</f>
        <v>true</v>
      </c>
    </row>
    <row r="75" spans="1:6" x14ac:dyDescent="0.2">
      <c r="B75" s="118" t="s">
        <v>186</v>
      </c>
      <c r="C75" s="118" t="s">
        <v>187</v>
      </c>
      <c r="D75" s="119" t="s">
        <v>176</v>
      </c>
      <c r="E75" s="118" t="s">
        <v>157</v>
      </c>
      <c r="F75" s="121">
        <f xml:space="preserve"> IF( InpOverride!F75 = "", F_Inputs!F75, InpOverride!F75 )</f>
        <v>5.1641442057692704</v>
      </c>
    </row>
    <row r="76" spans="1:6" x14ac:dyDescent="0.2">
      <c r="A76" s="118" t="s">
        <v>130</v>
      </c>
      <c r="B76" s="119" t="s">
        <v>177</v>
      </c>
      <c r="C76" s="120" t="s">
        <v>155</v>
      </c>
      <c r="D76" s="119" t="s">
        <v>178</v>
      </c>
      <c r="E76" s="118" t="s">
        <v>157</v>
      </c>
      <c r="F76" s="121">
        <f xml:space="preserve"> IF( InpOverride!F76 = "", F_Inputs!F76, InpOverride!F76 )</f>
        <v>72.17</v>
      </c>
    </row>
    <row r="77" spans="1:6" x14ac:dyDescent="0.2">
      <c r="B77" s="119" t="s">
        <v>179</v>
      </c>
      <c r="C77" s="120" t="s">
        <v>159</v>
      </c>
      <c r="D77" s="119" t="s">
        <v>178</v>
      </c>
      <c r="E77" s="118" t="s">
        <v>157</v>
      </c>
      <c r="F77" s="121">
        <f xml:space="preserve"> IF( InpOverride!F77 = "", F_Inputs!F77, InpOverride!F77 )</f>
        <v>76.680000000000007</v>
      </c>
    </row>
    <row r="78" spans="1:6" x14ac:dyDescent="0.2">
      <c r="B78" s="119" t="s">
        <v>180</v>
      </c>
      <c r="C78" s="120" t="s">
        <v>161</v>
      </c>
      <c r="D78" s="119" t="s">
        <v>178</v>
      </c>
      <c r="E78" s="118" t="s">
        <v>157</v>
      </c>
      <c r="F78" s="121">
        <f xml:space="preserve"> IF( InpOverride!F78 = "", F_Inputs!F78, InpOverride!F78 )</f>
        <v>74.42</v>
      </c>
    </row>
    <row r="79" spans="1:6" x14ac:dyDescent="0.2">
      <c r="B79" s="119" t="s">
        <v>181</v>
      </c>
      <c r="C79" s="120" t="s">
        <v>163</v>
      </c>
      <c r="D79" s="119" t="s">
        <v>178</v>
      </c>
      <c r="E79" s="118" t="s">
        <v>157</v>
      </c>
      <c r="F79" s="121">
        <f xml:space="preserve"> IF( InpOverride!F79 = "", F_Inputs!F79, InpOverride!F79 )</f>
        <v>9.5</v>
      </c>
    </row>
    <row r="80" spans="1:6" x14ac:dyDescent="0.2">
      <c r="B80" s="119" t="s">
        <v>182</v>
      </c>
      <c r="C80" s="120" t="s">
        <v>165</v>
      </c>
      <c r="D80" s="119" t="s">
        <v>178</v>
      </c>
      <c r="E80" s="118" t="s">
        <v>157</v>
      </c>
      <c r="F80" s="121">
        <f xml:space="preserve"> IF( InpOverride!F80 = "", F_Inputs!F80, InpOverride!F80 )</f>
        <v>14082</v>
      </c>
    </row>
    <row r="81" spans="1:6" x14ac:dyDescent="0.2">
      <c r="B81" s="119" t="s">
        <v>183</v>
      </c>
      <c r="C81" s="120" t="s">
        <v>167</v>
      </c>
      <c r="D81" s="119" t="s">
        <v>178</v>
      </c>
      <c r="E81" s="118" t="s">
        <v>157</v>
      </c>
      <c r="F81" s="121">
        <f xml:space="preserve"> IF( InpOverride!F81 = "", F_Inputs!F81, InpOverride!F81 )</f>
        <v>4520210</v>
      </c>
    </row>
    <row r="82" spans="1:6" x14ac:dyDescent="0.2">
      <c r="B82" s="119" t="s">
        <v>184</v>
      </c>
      <c r="C82" s="120" t="s">
        <v>169</v>
      </c>
      <c r="D82" s="119" t="s">
        <v>178</v>
      </c>
      <c r="E82" s="118" t="s">
        <v>157</v>
      </c>
      <c r="F82" s="121">
        <f xml:space="preserve"> IF( InpOverride!F82 = "", F_Inputs!F82, InpOverride!F82 )</f>
        <v>31.153419863236444</v>
      </c>
    </row>
    <row r="83" spans="1:6" x14ac:dyDescent="0.2">
      <c r="B83" s="119" t="s">
        <v>185</v>
      </c>
      <c r="C83" s="120" t="s">
        <v>171</v>
      </c>
      <c r="D83" s="119" t="s">
        <v>172</v>
      </c>
      <c r="E83" s="118" t="s">
        <v>157</v>
      </c>
      <c r="F83" s="121" t="str">
        <f xml:space="preserve"> IF( InpOverride!F83 = "", F_Inputs!F83, InpOverride!F83 )</f>
        <v>true</v>
      </c>
    </row>
    <row r="84" spans="1:6" x14ac:dyDescent="0.2">
      <c r="B84" s="118" t="s">
        <v>186</v>
      </c>
      <c r="C84" s="118" t="s">
        <v>187</v>
      </c>
      <c r="D84" s="119" t="s">
        <v>176</v>
      </c>
      <c r="E84" s="118" t="s">
        <v>157</v>
      </c>
      <c r="F84" s="121">
        <f xml:space="preserve"> IF( InpOverride!F84 = "", F_Inputs!F84, InpOverride!F84 )</f>
        <v>107.434052353943</v>
      </c>
    </row>
    <row r="85" spans="1:6" x14ac:dyDescent="0.2">
      <c r="A85" s="118" t="s">
        <v>132</v>
      </c>
      <c r="B85" s="119" t="s">
        <v>177</v>
      </c>
      <c r="C85" s="120" t="s">
        <v>155</v>
      </c>
      <c r="D85" s="119" t="s">
        <v>178</v>
      </c>
      <c r="E85" s="118" t="s">
        <v>157</v>
      </c>
      <c r="F85" s="121">
        <f xml:space="preserve"> IF( InpOverride!F85 = "", F_Inputs!F85, InpOverride!F85 )</f>
        <v>71.099999999999994</v>
      </c>
    </row>
    <row r="86" spans="1:6" x14ac:dyDescent="0.2">
      <c r="B86" s="119" t="s">
        <v>179</v>
      </c>
      <c r="C86" s="120" t="s">
        <v>159</v>
      </c>
      <c r="D86" s="119" t="s">
        <v>178</v>
      </c>
      <c r="E86" s="118" t="s">
        <v>157</v>
      </c>
      <c r="F86" s="121">
        <f xml:space="preserve"> IF( InpOverride!F86 = "", F_Inputs!F86, InpOverride!F86 )</f>
        <v>72.53</v>
      </c>
    </row>
    <row r="87" spans="1:6" x14ac:dyDescent="0.2">
      <c r="B87" s="119" t="s">
        <v>180</v>
      </c>
      <c r="C87" s="120" t="s">
        <v>161</v>
      </c>
      <c r="D87" s="119" t="s">
        <v>178</v>
      </c>
      <c r="E87" s="118" t="s">
        <v>157</v>
      </c>
      <c r="F87" s="121">
        <f xml:space="preserve"> IF( InpOverride!F87 = "", F_Inputs!F87, InpOverride!F87 )</f>
        <v>71.819999999999993</v>
      </c>
    </row>
    <row r="88" spans="1:6" x14ac:dyDescent="0.2">
      <c r="B88" s="119" t="s">
        <v>181</v>
      </c>
      <c r="C88" s="120" t="s">
        <v>163</v>
      </c>
      <c r="D88" s="119" t="s">
        <v>178</v>
      </c>
      <c r="E88" s="118" t="s">
        <v>157</v>
      </c>
      <c r="F88" s="121">
        <f xml:space="preserve"> IF( InpOverride!F88 = "", F_Inputs!F88, InpOverride!F88 )</f>
        <v>-6</v>
      </c>
    </row>
    <row r="89" spans="1:6" x14ac:dyDescent="0.2">
      <c r="B89" s="119" t="s">
        <v>182</v>
      </c>
      <c r="C89" s="120" t="s">
        <v>165</v>
      </c>
      <c r="D89" s="119" t="s">
        <v>178</v>
      </c>
      <c r="E89" s="118" t="s">
        <v>157</v>
      </c>
      <c r="F89" s="121">
        <f xml:space="preserve"> IF( InpOverride!F89 = "", F_Inputs!F89, InpOverride!F89 )</f>
        <v>4988</v>
      </c>
    </row>
    <row r="90" spans="1:6" x14ac:dyDescent="0.2">
      <c r="B90" s="119" t="s">
        <v>183</v>
      </c>
      <c r="C90" s="120" t="s">
        <v>167</v>
      </c>
      <c r="D90" s="119" t="s">
        <v>178</v>
      </c>
      <c r="E90" s="118" t="s">
        <v>157</v>
      </c>
      <c r="F90" s="121">
        <f xml:space="preserve"> IF( InpOverride!F90 = "", F_Inputs!F90, InpOverride!F90 )</f>
        <v>1000666.494943631</v>
      </c>
    </row>
    <row r="91" spans="1:6" x14ac:dyDescent="0.2">
      <c r="B91" s="119" t="s">
        <v>184</v>
      </c>
      <c r="C91" s="120" t="s">
        <v>169</v>
      </c>
      <c r="D91" s="119" t="s">
        <v>178</v>
      </c>
      <c r="E91" s="118" t="s">
        <v>157</v>
      </c>
      <c r="F91" s="121">
        <f xml:space="preserve"> IF( InpOverride!F91 = "", F_Inputs!F91, InpOverride!F91 )</f>
        <v>49.846777374923313</v>
      </c>
    </row>
    <row r="92" spans="1:6" x14ac:dyDescent="0.2">
      <c r="B92" s="119" t="s">
        <v>185</v>
      </c>
      <c r="C92" s="120" t="s">
        <v>171</v>
      </c>
      <c r="D92" s="119" t="s">
        <v>172</v>
      </c>
      <c r="E92" s="118" t="s">
        <v>157</v>
      </c>
      <c r="F92" s="121" t="str">
        <f xml:space="preserve"> IF( InpOverride!F92 = "", F_Inputs!F92, InpOverride!F92 )</f>
        <v>true</v>
      </c>
    </row>
    <row r="93" spans="1:6" x14ac:dyDescent="0.2">
      <c r="B93" s="118" t="s">
        <v>186</v>
      </c>
      <c r="C93" s="118" t="s">
        <v>187</v>
      </c>
      <c r="D93" s="119" t="s">
        <v>176</v>
      </c>
      <c r="E93" s="118" t="s">
        <v>157</v>
      </c>
      <c r="F93" s="121">
        <f xml:space="preserve"> IF( InpOverride!F93 = "", F_Inputs!F93, InpOverride!F93 )</f>
        <v>18.8398367043748</v>
      </c>
    </row>
    <row r="94" spans="1:6" x14ac:dyDescent="0.2">
      <c r="A94" s="118" t="s">
        <v>134</v>
      </c>
      <c r="B94" s="119" t="s">
        <v>177</v>
      </c>
      <c r="C94" s="120" t="s">
        <v>155</v>
      </c>
      <c r="D94" s="119" t="s">
        <v>178</v>
      </c>
      <c r="E94" s="118" t="s">
        <v>157</v>
      </c>
      <c r="F94" s="121">
        <f xml:space="preserve"> IF( InpOverride!F94 = "", F_Inputs!F94, InpOverride!F94 )</f>
        <v>72.61</v>
      </c>
    </row>
    <row r="95" spans="1:6" x14ac:dyDescent="0.2">
      <c r="B95" s="119" t="s">
        <v>179</v>
      </c>
      <c r="C95" s="120" t="s">
        <v>159</v>
      </c>
      <c r="D95" s="119" t="s">
        <v>178</v>
      </c>
      <c r="E95" s="118" t="s">
        <v>157</v>
      </c>
      <c r="F95" s="121">
        <f xml:space="preserve"> IF( InpOverride!F95 = "", F_Inputs!F95, InpOverride!F95 )</f>
        <v>76.87</v>
      </c>
    </row>
    <row r="96" spans="1:6" x14ac:dyDescent="0.2">
      <c r="B96" s="119" t="s">
        <v>180</v>
      </c>
      <c r="C96" s="120" t="s">
        <v>161</v>
      </c>
      <c r="D96" s="119" t="s">
        <v>178</v>
      </c>
      <c r="E96" s="118" t="s">
        <v>157</v>
      </c>
      <c r="F96" s="121">
        <f xml:space="preserve"> IF( InpOverride!F96 = "", F_Inputs!F96, InpOverride!F96 )</f>
        <v>74.739999999999995</v>
      </c>
    </row>
    <row r="97" spans="1:6" x14ac:dyDescent="0.2">
      <c r="B97" s="119" t="s">
        <v>181</v>
      </c>
      <c r="C97" s="120" t="s">
        <v>163</v>
      </c>
      <c r="D97" s="119" t="s">
        <v>178</v>
      </c>
      <c r="E97" s="118" t="s">
        <v>157</v>
      </c>
      <c r="F97" s="121">
        <f xml:space="preserve"> IF( InpOverride!F97 = "", F_Inputs!F97, InpOverride!F97 )</f>
        <v>11.5</v>
      </c>
    </row>
    <row r="98" spans="1:6" x14ac:dyDescent="0.2">
      <c r="B98" s="119" t="s">
        <v>182</v>
      </c>
      <c r="C98" s="120" t="s">
        <v>165</v>
      </c>
      <c r="D98" s="119" t="s">
        <v>178</v>
      </c>
      <c r="E98" s="118" t="s">
        <v>157</v>
      </c>
      <c r="F98" s="121">
        <f xml:space="preserve"> IF( InpOverride!F98 = "", F_Inputs!F98, InpOverride!F98 )</f>
        <v>4670</v>
      </c>
    </row>
    <row r="99" spans="1:6" x14ac:dyDescent="0.2">
      <c r="B99" s="119" t="s">
        <v>183</v>
      </c>
      <c r="C99" s="120" t="s">
        <v>167</v>
      </c>
      <c r="D99" s="119" t="s">
        <v>178</v>
      </c>
      <c r="E99" s="118" t="s">
        <v>157</v>
      </c>
      <c r="F99" s="121">
        <f xml:space="preserve"> IF( InpOverride!F99 = "", F_Inputs!F99, InpOverride!F99 )</f>
        <v>717408</v>
      </c>
    </row>
    <row r="100" spans="1:6" x14ac:dyDescent="0.2">
      <c r="B100" s="119" t="s">
        <v>184</v>
      </c>
      <c r="C100" s="120" t="s">
        <v>169</v>
      </c>
      <c r="D100" s="119" t="s">
        <v>178</v>
      </c>
      <c r="E100" s="118" t="s">
        <v>157</v>
      </c>
      <c r="F100" s="121">
        <f xml:space="preserve"> IF( InpOverride!F100 = "", F_Inputs!F100, InpOverride!F100 )</f>
        <v>65.095454748204645</v>
      </c>
    </row>
    <row r="101" spans="1:6" x14ac:dyDescent="0.2">
      <c r="B101" s="119" t="s">
        <v>185</v>
      </c>
      <c r="C101" s="120" t="s">
        <v>171</v>
      </c>
      <c r="D101" s="119" t="s">
        <v>172</v>
      </c>
      <c r="E101" s="118" t="s">
        <v>157</v>
      </c>
      <c r="F101" s="121" t="str">
        <f xml:space="preserve"> IF( InpOverride!F101 = "", F_Inputs!F101, InpOverride!F101 )</f>
        <v>true</v>
      </c>
    </row>
    <row r="102" spans="1:6" x14ac:dyDescent="0.2">
      <c r="B102" s="118" t="s">
        <v>186</v>
      </c>
      <c r="C102" s="118" t="s">
        <v>187</v>
      </c>
      <c r="D102" s="119" t="s">
        <v>176</v>
      </c>
      <c r="E102" s="118" t="s">
        <v>157</v>
      </c>
      <c r="F102" s="121">
        <f xml:space="preserve"> IF( InpOverride!F102 = "", F_Inputs!F102, InpOverride!F102 )</f>
        <v>15.1871574214207</v>
      </c>
    </row>
    <row r="103" spans="1:6" x14ac:dyDescent="0.2">
      <c r="A103" s="118" t="s">
        <v>136</v>
      </c>
      <c r="B103" s="119" t="s">
        <v>177</v>
      </c>
      <c r="C103" s="120" t="s">
        <v>155</v>
      </c>
      <c r="D103" s="119" t="s">
        <v>178</v>
      </c>
      <c r="E103" s="118" t="s">
        <v>157</v>
      </c>
      <c r="F103" s="121">
        <f xml:space="preserve"> IF( InpOverride!F103 = "", F_Inputs!F103, InpOverride!F103 )</f>
        <v>70.55</v>
      </c>
    </row>
    <row r="104" spans="1:6" x14ac:dyDescent="0.2">
      <c r="B104" s="119" t="s">
        <v>179</v>
      </c>
      <c r="C104" s="120" t="s">
        <v>159</v>
      </c>
      <c r="D104" s="119" t="s">
        <v>178</v>
      </c>
      <c r="E104" s="118" t="s">
        <v>157</v>
      </c>
      <c r="F104" s="121">
        <f xml:space="preserve"> IF( InpOverride!F104 = "", F_Inputs!F104, InpOverride!F104 )</f>
        <v>68.400000000000006</v>
      </c>
    </row>
    <row r="105" spans="1:6" x14ac:dyDescent="0.2">
      <c r="B105" s="119" t="s">
        <v>180</v>
      </c>
      <c r="C105" s="120" t="s">
        <v>161</v>
      </c>
      <c r="D105" s="119" t="s">
        <v>178</v>
      </c>
      <c r="E105" s="118" t="s">
        <v>157</v>
      </c>
      <c r="F105" s="121">
        <f xml:space="preserve"> IF( InpOverride!F105 = "", F_Inputs!F105, InpOverride!F105 )</f>
        <v>69.48</v>
      </c>
    </row>
    <row r="106" spans="1:6" x14ac:dyDescent="0.2">
      <c r="B106" s="119" t="s">
        <v>181</v>
      </c>
      <c r="C106" s="120" t="s">
        <v>163</v>
      </c>
      <c r="D106" s="119" t="s">
        <v>178</v>
      </c>
      <c r="E106" s="118" t="s">
        <v>157</v>
      </c>
      <c r="F106" s="121">
        <f xml:space="preserve"> IF( InpOverride!F106 = "", F_Inputs!F106, InpOverride!F106 )</f>
        <v>-12</v>
      </c>
    </row>
    <row r="107" spans="1:6" x14ac:dyDescent="0.2">
      <c r="B107" s="119" t="s">
        <v>182</v>
      </c>
      <c r="C107" s="120" t="s">
        <v>165</v>
      </c>
      <c r="D107" s="119" t="s">
        <v>178</v>
      </c>
      <c r="E107" s="118" t="s">
        <v>157</v>
      </c>
      <c r="F107" s="121">
        <f xml:space="preserve"> IF( InpOverride!F107 = "", F_Inputs!F107, InpOverride!F107 )</f>
        <v>8081</v>
      </c>
    </row>
    <row r="108" spans="1:6" x14ac:dyDescent="0.2">
      <c r="B108" s="119" t="s">
        <v>183</v>
      </c>
      <c r="C108" s="120" t="s">
        <v>167</v>
      </c>
      <c r="D108" s="119" t="s">
        <v>178</v>
      </c>
      <c r="E108" s="118" t="s">
        <v>157</v>
      </c>
      <c r="F108" s="121">
        <f xml:space="preserve"> IF( InpOverride!F108 = "", F_Inputs!F108, InpOverride!F108 )</f>
        <v>1022599</v>
      </c>
    </row>
    <row r="109" spans="1:6" x14ac:dyDescent="0.2">
      <c r="B109" s="119" t="s">
        <v>184</v>
      </c>
      <c r="C109" s="120" t="s">
        <v>169</v>
      </c>
      <c r="D109" s="119" t="s">
        <v>178</v>
      </c>
      <c r="E109" s="118" t="s">
        <v>157</v>
      </c>
      <c r="F109" s="121">
        <f xml:space="preserve"> IF( InpOverride!F109 = "", F_Inputs!F109, InpOverride!F109 )</f>
        <v>79.024133604668094</v>
      </c>
    </row>
    <row r="110" spans="1:6" x14ac:dyDescent="0.2">
      <c r="B110" s="119" t="s">
        <v>185</v>
      </c>
      <c r="C110" s="120" t="s">
        <v>171</v>
      </c>
      <c r="D110" s="119" t="s">
        <v>172</v>
      </c>
      <c r="E110" s="118" t="s">
        <v>157</v>
      </c>
      <c r="F110" s="121" t="str">
        <f xml:space="preserve"> IF( InpOverride!F110 = "", F_Inputs!F110, InpOverride!F110 )</f>
        <v>true</v>
      </c>
    </row>
    <row r="111" spans="1:6" x14ac:dyDescent="0.2">
      <c r="B111" s="118" t="s">
        <v>186</v>
      </c>
      <c r="C111" s="118" t="s">
        <v>187</v>
      </c>
      <c r="D111" s="119" t="s">
        <v>176</v>
      </c>
      <c r="E111" s="118" t="s">
        <v>157</v>
      </c>
      <c r="F111" s="121">
        <f xml:space="preserve"> IF( InpOverride!F111 = "", F_Inputs!F111, InpOverride!F111 )</f>
        <v>29.633099317905401</v>
      </c>
    </row>
    <row r="112" spans="1:6" x14ac:dyDescent="0.2">
      <c r="A112" s="118" t="s">
        <v>138</v>
      </c>
      <c r="B112" s="119" t="s">
        <v>177</v>
      </c>
      <c r="C112" s="120" t="s">
        <v>155</v>
      </c>
      <c r="D112" s="119" t="s">
        <v>178</v>
      </c>
      <c r="E112" s="118" t="s">
        <v>157</v>
      </c>
      <c r="F112" s="121">
        <f xml:space="preserve"> IF( InpOverride!F112 = "", F_Inputs!F112, InpOverride!F112 )</f>
        <v>63.44</v>
      </c>
    </row>
    <row r="113" spans="1:6" x14ac:dyDescent="0.2">
      <c r="B113" s="119" t="s">
        <v>179</v>
      </c>
      <c r="C113" s="120" t="s">
        <v>159</v>
      </c>
      <c r="D113" s="119" t="s">
        <v>178</v>
      </c>
      <c r="E113" s="118" t="s">
        <v>157</v>
      </c>
      <c r="F113" s="121">
        <f xml:space="preserve"> IF( InpOverride!F113 = "", F_Inputs!F113, InpOverride!F113 )</f>
        <v>66.83</v>
      </c>
    </row>
    <row r="114" spans="1:6" x14ac:dyDescent="0.2">
      <c r="B114" s="119" t="s">
        <v>180</v>
      </c>
      <c r="C114" s="120" t="s">
        <v>161</v>
      </c>
      <c r="D114" s="119" t="s">
        <v>178</v>
      </c>
      <c r="E114" s="118" t="s">
        <v>157</v>
      </c>
      <c r="F114" s="121">
        <f xml:space="preserve"> IF( InpOverride!F114 = "", F_Inputs!F114, InpOverride!F114 )</f>
        <v>65.13</v>
      </c>
    </row>
    <row r="115" spans="1:6" x14ac:dyDescent="0.2">
      <c r="B115" s="119" t="s">
        <v>181</v>
      </c>
      <c r="C115" s="120" t="s">
        <v>163</v>
      </c>
      <c r="D115" s="119" t="s">
        <v>178</v>
      </c>
      <c r="E115" s="118" t="s">
        <v>157</v>
      </c>
      <c r="F115" s="121">
        <f xml:space="preserve"> IF( InpOverride!F115 = "", F_Inputs!F115, InpOverride!F115 )</f>
        <v>-22.5</v>
      </c>
    </row>
    <row r="116" spans="1:6" x14ac:dyDescent="0.2">
      <c r="B116" s="119" t="s">
        <v>182</v>
      </c>
      <c r="C116" s="120" t="s">
        <v>165</v>
      </c>
      <c r="D116" s="119" t="s">
        <v>178</v>
      </c>
      <c r="E116" s="118" t="s">
        <v>157</v>
      </c>
      <c r="F116" s="121">
        <f xml:space="preserve"> IF( InpOverride!F116 = "", F_Inputs!F116, InpOverride!F116 )</f>
        <v>18975</v>
      </c>
    </row>
    <row r="117" spans="1:6" x14ac:dyDescent="0.2">
      <c r="B117" s="119" t="s">
        <v>183</v>
      </c>
      <c r="C117" s="120" t="s">
        <v>167</v>
      </c>
      <c r="D117" s="119" t="s">
        <v>178</v>
      </c>
      <c r="E117" s="118" t="s">
        <v>157</v>
      </c>
      <c r="F117" s="121">
        <f xml:space="preserve"> IF( InpOverride!F117 = "", F_Inputs!F117, InpOverride!F117 )</f>
        <v>2077571</v>
      </c>
    </row>
    <row r="118" spans="1:6" x14ac:dyDescent="0.2">
      <c r="B118" s="119" t="s">
        <v>184</v>
      </c>
      <c r="C118" s="120" t="s">
        <v>169</v>
      </c>
      <c r="D118" s="119" t="s">
        <v>178</v>
      </c>
      <c r="E118" s="118" t="s">
        <v>157</v>
      </c>
      <c r="F118" s="121">
        <f xml:space="preserve"> IF( InpOverride!F118 = "", F_Inputs!F118, InpOverride!F118 )</f>
        <v>91.332618716761061</v>
      </c>
    </row>
    <row r="119" spans="1:6" x14ac:dyDescent="0.2">
      <c r="B119" s="119" t="s">
        <v>185</v>
      </c>
      <c r="C119" s="120" t="s">
        <v>171</v>
      </c>
      <c r="D119" s="119" t="s">
        <v>172</v>
      </c>
      <c r="E119" s="118" t="s">
        <v>157</v>
      </c>
      <c r="F119" s="121" t="str">
        <f xml:space="preserve"> IF( InpOverride!F119 = "", F_Inputs!F119, InpOverride!F119 )</f>
        <v>true</v>
      </c>
    </row>
    <row r="120" spans="1:6" x14ac:dyDescent="0.2">
      <c r="B120" s="118" t="s">
        <v>186</v>
      </c>
      <c r="C120" s="118" t="s">
        <v>187</v>
      </c>
      <c r="D120" s="119" t="s">
        <v>176</v>
      </c>
      <c r="E120" s="118" t="s">
        <v>157</v>
      </c>
      <c r="F120" s="121">
        <f xml:space="preserve"> IF( InpOverride!F120 = "", F_Inputs!F120, InpOverride!F120 )</f>
        <v>48.454014498771798</v>
      </c>
    </row>
    <row r="121" spans="1:6" x14ac:dyDescent="0.2">
      <c r="A121" s="118" t="s">
        <v>140</v>
      </c>
      <c r="B121" s="119" t="s">
        <v>177</v>
      </c>
      <c r="C121" s="120" t="s">
        <v>155</v>
      </c>
      <c r="D121" s="119" t="s">
        <v>178</v>
      </c>
      <c r="E121" s="118" t="s">
        <v>157</v>
      </c>
      <c r="F121" s="121">
        <f xml:space="preserve"> IF( InpOverride!F121 = "", F_Inputs!F121, InpOverride!F121 )</f>
        <v>57.98</v>
      </c>
    </row>
    <row r="122" spans="1:6" x14ac:dyDescent="0.2">
      <c r="B122" s="119" t="s">
        <v>179</v>
      </c>
      <c r="C122" s="120" t="s">
        <v>159</v>
      </c>
      <c r="D122" s="119" t="s">
        <v>178</v>
      </c>
      <c r="E122" s="118" t="s">
        <v>157</v>
      </c>
      <c r="F122" s="121">
        <f xml:space="preserve"> IF( InpOverride!F122 = "", F_Inputs!F122, InpOverride!F122 )</f>
        <v>64.900000000000006</v>
      </c>
    </row>
    <row r="123" spans="1:6" x14ac:dyDescent="0.2">
      <c r="B123" s="119" t="s">
        <v>180</v>
      </c>
      <c r="C123" s="120" t="s">
        <v>161</v>
      </c>
      <c r="D123" s="119" t="s">
        <v>178</v>
      </c>
      <c r="E123" s="118" t="s">
        <v>157</v>
      </c>
      <c r="F123" s="121">
        <f xml:space="preserve"> IF( InpOverride!F123 = "", F_Inputs!F123, InpOverride!F123 )</f>
        <v>61.44</v>
      </c>
    </row>
    <row r="124" spans="1:6" x14ac:dyDescent="0.2">
      <c r="B124" s="119" t="s">
        <v>181</v>
      </c>
      <c r="C124" s="120" t="s">
        <v>163</v>
      </c>
      <c r="D124" s="119" t="s">
        <v>178</v>
      </c>
      <c r="E124" s="118" t="s">
        <v>157</v>
      </c>
      <c r="F124" s="121">
        <f xml:space="preserve"> IF( InpOverride!F124 = "", F_Inputs!F124, InpOverride!F124 )</f>
        <v>-31.5</v>
      </c>
    </row>
    <row r="125" spans="1:6" x14ac:dyDescent="0.2">
      <c r="B125" s="119" t="s">
        <v>182</v>
      </c>
      <c r="C125" s="120" t="s">
        <v>165</v>
      </c>
      <c r="D125" s="119" t="s">
        <v>178</v>
      </c>
      <c r="E125" s="118" t="s">
        <v>157</v>
      </c>
      <c r="F125" s="121">
        <f xml:space="preserve"> IF( InpOverride!F125 = "", F_Inputs!F125, InpOverride!F125 )</f>
        <v>83146</v>
      </c>
    </row>
    <row r="126" spans="1:6" x14ac:dyDescent="0.2">
      <c r="B126" s="119" t="s">
        <v>183</v>
      </c>
      <c r="C126" s="120" t="s">
        <v>167</v>
      </c>
      <c r="D126" s="119" t="s">
        <v>178</v>
      </c>
      <c r="E126" s="118" t="s">
        <v>157</v>
      </c>
      <c r="F126" s="121">
        <f xml:space="preserve"> IF( InpOverride!F126 = "", F_Inputs!F126, InpOverride!F126 )</f>
        <v>5979736</v>
      </c>
    </row>
    <row r="127" spans="1:6" x14ac:dyDescent="0.2">
      <c r="B127" s="119" t="s">
        <v>184</v>
      </c>
      <c r="C127" s="120" t="s">
        <v>169</v>
      </c>
      <c r="D127" s="119" t="s">
        <v>178</v>
      </c>
      <c r="E127" s="118" t="s">
        <v>157</v>
      </c>
      <c r="F127" s="121">
        <f xml:space="preserve"> IF( InpOverride!F127 = "", F_Inputs!F127, InpOverride!F127 )</f>
        <v>139.04627227690318</v>
      </c>
    </row>
    <row r="128" spans="1:6" x14ac:dyDescent="0.2">
      <c r="B128" s="119" t="s">
        <v>185</v>
      </c>
      <c r="C128" s="120" t="s">
        <v>171</v>
      </c>
      <c r="D128" s="119" t="s">
        <v>172</v>
      </c>
      <c r="E128" s="118" t="s">
        <v>157</v>
      </c>
      <c r="F128" s="121" t="str">
        <f xml:space="preserve"> IF( InpOverride!F128 = "", F_Inputs!F128, InpOverride!F128 )</f>
        <v>true</v>
      </c>
    </row>
    <row r="129" spans="1:6" x14ac:dyDescent="0.2">
      <c r="B129" s="118" t="s">
        <v>186</v>
      </c>
      <c r="C129" s="118" t="s">
        <v>187</v>
      </c>
      <c r="D129" s="119" t="s">
        <v>176</v>
      </c>
      <c r="E129" s="118" t="s">
        <v>157</v>
      </c>
      <c r="F129" s="121">
        <f xml:space="preserve"> IF( InpOverride!F129 = "", F_Inputs!F129, InpOverride!F129 )</f>
        <v>124.749670660169</v>
      </c>
    </row>
    <row r="130" spans="1:6" x14ac:dyDescent="0.2">
      <c r="A130" s="118" t="s">
        <v>188</v>
      </c>
      <c r="B130" s="119" t="s">
        <v>177</v>
      </c>
      <c r="C130" s="120" t="s">
        <v>155</v>
      </c>
      <c r="D130" s="119" t="s">
        <v>178</v>
      </c>
      <c r="E130" s="118" t="s">
        <v>157</v>
      </c>
      <c r="F130" s="121">
        <f xml:space="preserve"> IF( InpOverride!F130 = "", F_Inputs!F130, InpOverride!F130 )</f>
        <v>76.760000000000005</v>
      </c>
    </row>
    <row r="131" spans="1:6" x14ac:dyDescent="0.2">
      <c r="B131" s="119" t="s">
        <v>179</v>
      </c>
      <c r="C131" s="120" t="s">
        <v>159</v>
      </c>
      <c r="D131" s="119" t="s">
        <v>178</v>
      </c>
      <c r="E131" s="118" t="s">
        <v>157</v>
      </c>
      <c r="F131" s="121">
        <f xml:space="preserve"> IF( InpOverride!F131 = "", F_Inputs!F131, InpOverride!F131 )</f>
        <v>75.959999999999994</v>
      </c>
    </row>
    <row r="132" spans="1:6" x14ac:dyDescent="0.2">
      <c r="B132" s="119" t="s">
        <v>180</v>
      </c>
      <c r="C132" s="120" t="s">
        <v>161</v>
      </c>
      <c r="D132" s="119" t="s">
        <v>178</v>
      </c>
      <c r="E132" s="118" t="s">
        <v>157</v>
      </c>
      <c r="F132" s="121">
        <f xml:space="preserve"> IF( InpOverride!F132 = "", F_Inputs!F132, InpOverride!F132 )</f>
        <v>76.36</v>
      </c>
    </row>
    <row r="133" spans="1:6" x14ac:dyDescent="0.2">
      <c r="B133" s="119" t="s">
        <v>181</v>
      </c>
      <c r="C133" s="120" t="s">
        <v>163</v>
      </c>
      <c r="D133" s="119" t="s">
        <v>178</v>
      </c>
      <c r="E133" s="118" t="s">
        <v>157</v>
      </c>
      <c r="F133" s="121">
        <f xml:space="preserve"> IF( InpOverride!F133 = "", F_Inputs!F133, InpOverride!F133 )</f>
        <v>11</v>
      </c>
    </row>
    <row r="134" spans="1:6" x14ac:dyDescent="0.2">
      <c r="B134" s="119" t="s">
        <v>182</v>
      </c>
      <c r="C134" s="120" t="s">
        <v>165</v>
      </c>
      <c r="D134" s="119" t="s">
        <v>178</v>
      </c>
      <c r="E134" s="118" t="s">
        <v>157</v>
      </c>
      <c r="F134" s="121">
        <f xml:space="preserve"> IF( InpOverride!F134 = "", F_Inputs!F134, InpOverride!F134 )</f>
        <v>21437</v>
      </c>
    </row>
    <row r="135" spans="1:6" x14ac:dyDescent="0.2">
      <c r="B135" s="119" t="s">
        <v>183</v>
      </c>
      <c r="C135" s="120" t="s">
        <v>167</v>
      </c>
      <c r="D135" s="119" t="s">
        <v>178</v>
      </c>
      <c r="E135" s="118" t="s">
        <v>157</v>
      </c>
      <c r="F135" s="121">
        <f xml:space="preserve"> IF( InpOverride!F135 = "", F_Inputs!F135, InpOverride!F135 )</f>
        <v>3371871</v>
      </c>
    </row>
    <row r="136" spans="1:6" x14ac:dyDescent="0.2">
      <c r="B136" s="119" t="s">
        <v>184</v>
      </c>
      <c r="C136" s="120" t="s">
        <v>169</v>
      </c>
      <c r="D136" s="119" t="s">
        <v>178</v>
      </c>
      <c r="E136" s="118" t="s">
        <v>157</v>
      </c>
      <c r="F136" s="121">
        <f xml:space="preserve"> IF( InpOverride!F136 = "", F_Inputs!F136, InpOverride!F136 )</f>
        <v>63.575979033598855</v>
      </c>
    </row>
    <row r="137" spans="1:6" x14ac:dyDescent="0.2">
      <c r="B137" s="119" t="s">
        <v>185</v>
      </c>
      <c r="C137" s="120" t="s">
        <v>171</v>
      </c>
      <c r="D137" s="119" t="s">
        <v>172</v>
      </c>
      <c r="E137" s="118" t="s">
        <v>157</v>
      </c>
      <c r="F137" s="121" t="str">
        <f xml:space="preserve"> IF( InpOverride!F137 = "", F_Inputs!F137, InpOverride!F137 )</f>
        <v>true</v>
      </c>
    </row>
    <row r="138" spans="1:6" x14ac:dyDescent="0.2">
      <c r="B138" s="118" t="s">
        <v>186</v>
      </c>
      <c r="C138" s="118" t="s">
        <v>187</v>
      </c>
      <c r="D138" s="119" t="s">
        <v>176</v>
      </c>
      <c r="E138" s="118" t="s">
        <v>157</v>
      </c>
      <c r="F138" s="121">
        <f xml:space="preserve"> IF( InpOverride!F138 = "", F_Inputs!F138, InpOverride!F138 )</f>
        <v>127.598345901198</v>
      </c>
    </row>
    <row r="139" spans="1:6" x14ac:dyDescent="0.2">
      <c r="A139" s="118" t="s">
        <v>144</v>
      </c>
      <c r="B139" s="119" t="s">
        <v>177</v>
      </c>
      <c r="C139" s="120" t="s">
        <v>155</v>
      </c>
      <c r="D139" s="119" t="s">
        <v>178</v>
      </c>
      <c r="E139" s="118" t="s">
        <v>157</v>
      </c>
      <c r="F139" s="121">
        <f xml:space="preserve"> IF( InpOverride!F139 = "", F_Inputs!F139, InpOverride!F139 )</f>
        <v>82.29</v>
      </c>
    </row>
    <row r="140" spans="1:6" x14ac:dyDescent="0.2">
      <c r="B140" s="119" t="s">
        <v>179</v>
      </c>
      <c r="C140" s="120" t="s">
        <v>159</v>
      </c>
      <c r="D140" s="119" t="s">
        <v>178</v>
      </c>
      <c r="E140" s="118" t="s">
        <v>157</v>
      </c>
      <c r="F140" s="121">
        <f xml:space="preserve"> IF( InpOverride!F140 = "", F_Inputs!F140, InpOverride!F140 )</f>
        <v>77.13</v>
      </c>
    </row>
    <row r="141" spans="1:6" x14ac:dyDescent="0.2">
      <c r="B141" s="119" t="s">
        <v>180</v>
      </c>
      <c r="C141" s="120" t="s">
        <v>161</v>
      </c>
      <c r="D141" s="119" t="s">
        <v>178</v>
      </c>
      <c r="E141" s="118" t="s">
        <v>157</v>
      </c>
      <c r="F141" s="121">
        <f xml:space="preserve"> IF( InpOverride!F141 = "", F_Inputs!F141, InpOverride!F141 )</f>
        <v>79.709999999999994</v>
      </c>
    </row>
    <row r="142" spans="1:6" x14ac:dyDescent="0.2">
      <c r="B142" s="119" t="s">
        <v>181</v>
      </c>
      <c r="C142" s="120" t="s">
        <v>163</v>
      </c>
      <c r="D142" s="119" t="s">
        <v>178</v>
      </c>
      <c r="E142" s="118" t="s">
        <v>157</v>
      </c>
      <c r="F142" s="121">
        <f xml:space="preserve"> IF( InpOverride!F142 = "", F_Inputs!F142, InpOverride!F142 )</f>
        <v>24</v>
      </c>
    </row>
    <row r="143" spans="1:6" x14ac:dyDescent="0.2">
      <c r="B143" s="119" t="s">
        <v>182</v>
      </c>
      <c r="C143" s="120" t="s">
        <v>165</v>
      </c>
      <c r="D143" s="119" t="s">
        <v>178</v>
      </c>
      <c r="E143" s="118" t="s">
        <v>157</v>
      </c>
      <c r="F143" s="121">
        <f xml:space="preserve"> IF( InpOverride!F143 = "", F_Inputs!F143, InpOverride!F143 )</f>
        <v>3278</v>
      </c>
    </row>
    <row r="144" spans="1:6" x14ac:dyDescent="0.2">
      <c r="B144" s="119" t="s">
        <v>183</v>
      </c>
      <c r="C144" s="120" t="s">
        <v>167</v>
      </c>
      <c r="D144" s="119" t="s">
        <v>178</v>
      </c>
      <c r="E144" s="118" t="s">
        <v>157</v>
      </c>
      <c r="F144" s="121">
        <f xml:space="preserve"> IF( InpOverride!F144 = "", F_Inputs!F144, InpOverride!F144 )</f>
        <v>1279658</v>
      </c>
    </row>
    <row r="145" spans="1:6" x14ac:dyDescent="0.2">
      <c r="B145" s="119" t="s">
        <v>184</v>
      </c>
      <c r="C145" s="120" t="s">
        <v>169</v>
      </c>
      <c r="D145" s="119" t="s">
        <v>178</v>
      </c>
      <c r="E145" s="118" t="s">
        <v>157</v>
      </c>
      <c r="F145" s="121">
        <f xml:space="preserve"> IF( InpOverride!F145 = "", F_Inputs!F145, InpOverride!F145 )</f>
        <v>25.616219333603198</v>
      </c>
    </row>
    <row r="146" spans="1:6" x14ac:dyDescent="0.2">
      <c r="B146" s="119" t="s">
        <v>185</v>
      </c>
      <c r="C146" s="120" t="s">
        <v>171</v>
      </c>
      <c r="D146" s="119" t="s">
        <v>172</v>
      </c>
      <c r="E146" s="118" t="s">
        <v>157</v>
      </c>
      <c r="F146" s="121" t="str">
        <f xml:space="preserve"> IF( InpOverride!F146 = "", F_Inputs!F146, InpOverride!F146 )</f>
        <v>true</v>
      </c>
    </row>
    <row r="147" spans="1:6" x14ac:dyDescent="0.2">
      <c r="B147" s="118" t="s">
        <v>186</v>
      </c>
      <c r="C147" s="118" t="s">
        <v>187</v>
      </c>
      <c r="D147" s="119" t="s">
        <v>176</v>
      </c>
      <c r="E147" s="118" t="s">
        <v>157</v>
      </c>
      <c r="F147" s="121">
        <f xml:space="preserve"> IF( InpOverride!F147 = "", F_Inputs!F147, InpOverride!F147 )</f>
        <v>33.088091625028397</v>
      </c>
    </row>
    <row r="148" spans="1:6" x14ac:dyDescent="0.2">
      <c r="A148" s="118" t="s">
        <v>146</v>
      </c>
      <c r="B148" s="119" t="s">
        <v>177</v>
      </c>
      <c r="C148" s="120" t="s">
        <v>155</v>
      </c>
      <c r="D148" s="119" t="s">
        <v>178</v>
      </c>
      <c r="E148" s="118" t="s">
        <v>157</v>
      </c>
      <c r="F148" s="121">
        <f xml:space="preserve"> IF( InpOverride!F148 = "", F_Inputs!F148, InpOverride!F148 )</f>
        <v>73</v>
      </c>
    </row>
    <row r="149" spans="1:6" x14ac:dyDescent="0.2">
      <c r="B149" s="119" t="s">
        <v>179</v>
      </c>
      <c r="C149" s="120" t="s">
        <v>159</v>
      </c>
      <c r="D149" s="119" t="s">
        <v>178</v>
      </c>
      <c r="E149" s="118" t="s">
        <v>157</v>
      </c>
      <c r="F149" s="121">
        <f xml:space="preserve"> IF( InpOverride!F149 = "", F_Inputs!F149, InpOverride!F149 )</f>
        <v>75.95</v>
      </c>
    </row>
    <row r="150" spans="1:6" x14ac:dyDescent="0.2">
      <c r="B150" s="119" t="s">
        <v>180</v>
      </c>
      <c r="C150" s="120" t="s">
        <v>161</v>
      </c>
      <c r="D150" s="119" t="s">
        <v>178</v>
      </c>
      <c r="E150" s="118" t="s">
        <v>157</v>
      </c>
      <c r="F150" s="121">
        <f xml:space="preserve"> IF( InpOverride!F150 = "", F_Inputs!F150, InpOverride!F150 )</f>
        <v>74.48</v>
      </c>
    </row>
    <row r="151" spans="1:6" x14ac:dyDescent="0.2">
      <c r="B151" s="119" t="s">
        <v>181</v>
      </c>
      <c r="C151" s="120" t="s">
        <v>163</v>
      </c>
      <c r="D151" s="119" t="s">
        <v>178</v>
      </c>
      <c r="E151" s="118" t="s">
        <v>157</v>
      </c>
      <c r="F151" s="121">
        <f xml:space="preserve"> IF( InpOverride!F151 = "", F_Inputs!F151, InpOverride!F151 )</f>
        <v>11</v>
      </c>
    </row>
    <row r="152" spans="1:6" x14ac:dyDescent="0.2">
      <c r="B152" s="119" t="s">
        <v>182</v>
      </c>
      <c r="C152" s="120" t="s">
        <v>165</v>
      </c>
      <c r="D152" s="119" t="s">
        <v>178</v>
      </c>
      <c r="E152" s="118" t="s">
        <v>157</v>
      </c>
      <c r="F152" s="121">
        <f xml:space="preserve"> IF( InpOverride!F152 = "", F_Inputs!F152, InpOverride!F152 )</f>
        <v>23306</v>
      </c>
    </row>
    <row r="153" spans="1:6" x14ac:dyDescent="0.2">
      <c r="B153" s="119" t="s">
        <v>183</v>
      </c>
      <c r="C153" s="120" t="s">
        <v>167</v>
      </c>
      <c r="D153" s="119" t="s">
        <v>178</v>
      </c>
      <c r="E153" s="118" t="s">
        <v>157</v>
      </c>
      <c r="F153" s="121">
        <f xml:space="preserve"> IF( InpOverride!F153 = "", F_Inputs!F153, InpOverride!F153 )</f>
        <v>2388813</v>
      </c>
    </row>
    <row r="154" spans="1:6" x14ac:dyDescent="0.2">
      <c r="B154" s="119" t="s">
        <v>184</v>
      </c>
      <c r="C154" s="120" t="s">
        <v>169</v>
      </c>
      <c r="D154" s="119" t="s">
        <v>178</v>
      </c>
      <c r="E154" s="118" t="s">
        <v>157</v>
      </c>
      <c r="F154" s="121">
        <f xml:space="preserve"> IF( InpOverride!F154 = "", F_Inputs!F154, InpOverride!F154 )</f>
        <v>97.563099330085691</v>
      </c>
    </row>
    <row r="155" spans="1:6" x14ac:dyDescent="0.2">
      <c r="B155" s="119" t="s">
        <v>185</v>
      </c>
      <c r="C155" s="120" t="s">
        <v>171</v>
      </c>
      <c r="D155" s="119" t="s">
        <v>172</v>
      </c>
      <c r="E155" s="118" t="s">
        <v>157</v>
      </c>
      <c r="F155" s="121" t="str">
        <f xml:space="preserve"> IF( InpOverride!F155 = "", F_Inputs!F155, InpOverride!F155 )</f>
        <v>true</v>
      </c>
    </row>
    <row r="156" spans="1:6" x14ac:dyDescent="0.2">
      <c r="B156" s="118" t="s">
        <v>186</v>
      </c>
      <c r="C156" s="118" t="s">
        <v>187</v>
      </c>
      <c r="D156" s="119" t="s">
        <v>176</v>
      </c>
      <c r="E156" s="118" t="s">
        <v>157</v>
      </c>
      <c r="F156" s="121">
        <f xml:space="preserve"> IF( InpOverride!F156 = "", F_Inputs!F156, InpOverride!F156 )</f>
        <v>75.403938109161203</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8DDB-0FEA-4C60-937B-A3ABA196E16D}">
  <sheetPr>
    <tabColor rgb="FFFFFF99"/>
    <pageSetUpPr fitToPage="1"/>
  </sheetPr>
  <dimension ref="A1:Z120"/>
  <sheetViews>
    <sheetView zoomScale="80" zoomScaleNormal="80" zoomScaleSheetLayoutView="100" workbookViewId="0"/>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6" width="9.140625" style="4"/>
    <col min="27" max="27" width="2.7109375" style="4" customWidth="1"/>
    <col min="28" max="16384" width="9.140625" style="4"/>
  </cols>
  <sheetData>
    <row r="1" spans="1:8" s="1" customFormat="1" ht="30" x14ac:dyDescent="0.4">
      <c r="A1" s="1" t="str">
        <f ca="1" xml:space="preserve"> RIGHT(CELL("filename", $A$1), LEN(CELL("filename", $A$1)) - SEARCH("]", CELL("filename", $A$1)))</f>
        <v>Inputs</v>
      </c>
      <c r="F1" s="1" t="str">
        <f xml:space="preserve"> F_Inputs!$F$2</f>
        <v>2023-24</v>
      </c>
    </row>
    <row r="2" spans="1:8" x14ac:dyDescent="0.2">
      <c r="F2" s="30" t="s">
        <v>189</v>
      </c>
      <c r="G2" s="30" t="s">
        <v>151</v>
      </c>
      <c r="H2" s="30" t="s">
        <v>190</v>
      </c>
    </row>
    <row r="3" spans="1:8" s="2" customFormat="1" ht="13.5" x14ac:dyDescent="0.25">
      <c r="A3" s="2" t="s">
        <v>191</v>
      </c>
    </row>
    <row r="4" spans="1:8" s="13" customFormat="1" x14ac:dyDescent="0.2">
      <c r="A4" s="4"/>
      <c r="B4" s="4"/>
      <c r="C4" s="4"/>
      <c r="D4" s="4"/>
      <c r="E4" s="4"/>
      <c r="F4" s="4"/>
    </row>
    <row r="5" spans="1:8" s="13" customFormat="1" ht="15.75" x14ac:dyDescent="0.3">
      <c r="A5" s="5"/>
      <c r="B5" s="8" t="s">
        <v>192</v>
      </c>
      <c r="C5" s="4"/>
      <c r="D5" s="4"/>
      <c r="E5" s="4"/>
      <c r="F5" s="4"/>
    </row>
    <row r="6" spans="1:8" s="13" customFormat="1" x14ac:dyDescent="0.2">
      <c r="A6" s="4"/>
      <c r="B6" s="4"/>
      <c r="C6" s="6" t="s">
        <v>193</v>
      </c>
      <c r="D6" s="4"/>
      <c r="E6" s="4"/>
      <c r="F6" s="4"/>
    </row>
    <row r="7" spans="1:8" s="9" customFormat="1" x14ac:dyDescent="0.2">
      <c r="C7" s="186"/>
      <c r="E7" s="9" t="s">
        <v>113</v>
      </c>
      <c r="F7" s="187">
        <f>ROUND(InpActive!F6,2)</f>
        <v>70.099999999999994</v>
      </c>
      <c r="G7" s="188" t="s">
        <v>178</v>
      </c>
      <c r="H7" s="188"/>
    </row>
    <row r="8" spans="1:8" s="9" customFormat="1" x14ac:dyDescent="0.2">
      <c r="C8" s="186"/>
      <c r="E8" s="9" t="s">
        <v>115</v>
      </c>
      <c r="F8" s="187">
        <f>ROUND(InpActive!F15,2)</f>
        <v>77.38</v>
      </c>
      <c r="G8" s="188" t="s">
        <v>178</v>
      </c>
      <c r="H8" s="188"/>
    </row>
    <row r="9" spans="1:8" s="9" customFormat="1" x14ac:dyDescent="0.2">
      <c r="C9" s="186"/>
      <c r="E9" s="9" t="s">
        <v>117</v>
      </c>
      <c r="F9" s="187">
        <f>ROUND(InpActive!F24,2)</f>
        <v>77.760000000000005</v>
      </c>
      <c r="G9" s="188" t="s">
        <v>178</v>
      </c>
      <c r="H9" s="188"/>
    </row>
    <row r="10" spans="1:8" s="9" customFormat="1" x14ac:dyDescent="0.2">
      <c r="C10" s="186"/>
      <c r="E10" s="9" t="s">
        <v>119</v>
      </c>
      <c r="F10" s="187">
        <f>ROUND(InpActive!F33,2)</f>
        <v>79.56</v>
      </c>
      <c r="G10" s="188" t="s">
        <v>178</v>
      </c>
      <c r="H10" s="188"/>
    </row>
    <row r="11" spans="1:8" s="9" customFormat="1" x14ac:dyDescent="0.2">
      <c r="C11" s="186"/>
      <c r="E11" s="9" t="s">
        <v>121</v>
      </c>
      <c r="F11" s="187">
        <f>ROUND(InpActive!F42,2)</f>
        <v>77.61</v>
      </c>
      <c r="G11" s="188" t="s">
        <v>178</v>
      </c>
      <c r="H11" s="188"/>
    </row>
    <row r="12" spans="1:8" s="9" customFormat="1" x14ac:dyDescent="0.2">
      <c r="C12" s="186"/>
      <c r="E12" s="9" t="s">
        <v>123</v>
      </c>
      <c r="F12" s="187">
        <f>ROUND(InpActive!F51,2)</f>
        <v>80.36</v>
      </c>
      <c r="G12" s="188" t="s">
        <v>178</v>
      </c>
      <c r="H12" s="188"/>
    </row>
    <row r="13" spans="1:8" s="9" customFormat="1" x14ac:dyDescent="0.2">
      <c r="C13" s="186"/>
      <c r="E13" s="9" t="s">
        <v>125</v>
      </c>
      <c r="F13" s="187">
        <f>ROUND(InpActive!F60,2)</f>
        <v>77.78</v>
      </c>
      <c r="G13" s="188" t="s">
        <v>178</v>
      </c>
      <c r="H13" s="188"/>
    </row>
    <row r="14" spans="1:8" s="9" customFormat="1" x14ac:dyDescent="0.2">
      <c r="C14" s="186"/>
      <c r="E14" s="9" t="s">
        <v>127</v>
      </c>
      <c r="F14" s="187">
        <f>ROUND(InpActive!F69,2)</f>
        <v>69.72</v>
      </c>
      <c r="G14" s="188" t="s">
        <v>178</v>
      </c>
      <c r="H14" s="188"/>
    </row>
    <row r="15" spans="1:8" s="9" customFormat="1" x14ac:dyDescent="0.2">
      <c r="C15" s="186"/>
      <c r="E15" s="9" t="s">
        <v>129</v>
      </c>
      <c r="F15" s="187">
        <f>ROUND(InpActive!F78,2)</f>
        <v>74.42</v>
      </c>
      <c r="G15" s="188" t="s">
        <v>178</v>
      </c>
      <c r="H15" s="188"/>
    </row>
    <row r="16" spans="1:8" s="9" customFormat="1" x14ac:dyDescent="0.2">
      <c r="C16" s="186"/>
      <c r="E16" s="9" t="s">
        <v>131</v>
      </c>
      <c r="F16" s="187">
        <f>ROUND(InpActive!F87,2)</f>
        <v>71.819999999999993</v>
      </c>
      <c r="G16" s="188" t="s">
        <v>178</v>
      </c>
      <c r="H16" s="188"/>
    </row>
    <row r="17" spans="1:8" s="9" customFormat="1" x14ac:dyDescent="0.2">
      <c r="C17" s="186"/>
      <c r="E17" s="9" t="s">
        <v>133</v>
      </c>
      <c r="F17" s="187">
        <f>ROUND(InpActive!F96,2)</f>
        <v>74.739999999999995</v>
      </c>
      <c r="G17" s="188" t="s">
        <v>178</v>
      </c>
      <c r="H17" s="188"/>
    </row>
    <row r="18" spans="1:8" s="9" customFormat="1" x14ac:dyDescent="0.2">
      <c r="C18" s="186"/>
      <c r="E18" s="9" t="s">
        <v>135</v>
      </c>
      <c r="F18" s="187">
        <f>ROUND(InpActive!F105,2)</f>
        <v>69.48</v>
      </c>
      <c r="G18" s="188" t="s">
        <v>178</v>
      </c>
      <c r="H18" s="188"/>
    </row>
    <row r="19" spans="1:8" s="9" customFormat="1" x14ac:dyDescent="0.2">
      <c r="C19" s="186"/>
      <c r="E19" s="9" t="s">
        <v>137</v>
      </c>
      <c r="F19" s="187">
        <f>ROUND(InpActive!F114,2)</f>
        <v>65.13</v>
      </c>
      <c r="G19" s="188" t="s">
        <v>178</v>
      </c>
      <c r="H19" s="188"/>
    </row>
    <row r="20" spans="1:8" s="9" customFormat="1" x14ac:dyDescent="0.2">
      <c r="C20" s="186"/>
      <c r="E20" s="9" t="s">
        <v>139</v>
      </c>
      <c r="F20" s="187">
        <f>ROUND(InpActive!F123,2)</f>
        <v>61.44</v>
      </c>
      <c r="G20" s="188" t="s">
        <v>178</v>
      </c>
      <c r="H20" s="188"/>
    </row>
    <row r="21" spans="1:8" s="9" customFormat="1" x14ac:dyDescent="0.2">
      <c r="C21" s="186"/>
      <c r="E21" s="9" t="s">
        <v>141</v>
      </c>
      <c r="F21" s="187">
        <f>ROUND(InpActive!F132,2)</f>
        <v>76.36</v>
      </c>
      <c r="G21" s="188" t="s">
        <v>178</v>
      </c>
      <c r="H21" s="188"/>
    </row>
    <row r="22" spans="1:8" s="9" customFormat="1" x14ac:dyDescent="0.2">
      <c r="C22" s="186"/>
      <c r="E22" s="9" t="s">
        <v>143</v>
      </c>
      <c r="F22" s="187">
        <f>ROUND(InpActive!F141,2)</f>
        <v>79.709999999999994</v>
      </c>
      <c r="G22" s="188" t="s">
        <v>178</v>
      </c>
      <c r="H22" s="188"/>
    </row>
    <row r="23" spans="1:8" s="9" customFormat="1" x14ac:dyDescent="0.2">
      <c r="C23" s="186"/>
      <c r="E23" s="9" t="s">
        <v>145</v>
      </c>
      <c r="F23" s="187">
        <f>ROUND(InpActive!F150,2)</f>
        <v>74.48</v>
      </c>
      <c r="G23" s="188" t="s">
        <v>178</v>
      </c>
      <c r="H23" s="188"/>
    </row>
    <row r="24" spans="1:8" ht="15.75" x14ac:dyDescent="0.3">
      <c r="A24" s="5"/>
      <c r="G24" s="13"/>
    </row>
    <row r="25" spans="1:8" s="2" customFormat="1" ht="13.5" x14ac:dyDescent="0.25">
      <c r="A25" s="2" t="s">
        <v>194</v>
      </c>
    </row>
    <row r="26" spans="1:8" ht="15.75" x14ac:dyDescent="0.3">
      <c r="A26" s="5"/>
      <c r="G26" s="13"/>
    </row>
    <row r="27" spans="1:8" x14ac:dyDescent="0.2">
      <c r="B27" s="8" t="s">
        <v>195</v>
      </c>
      <c r="G27" s="13"/>
    </row>
    <row r="28" spans="1:8" x14ac:dyDescent="0.2">
      <c r="C28" s="6" t="s">
        <v>196</v>
      </c>
      <c r="G28" s="13"/>
    </row>
    <row r="29" spans="1:8" s="9" customFormat="1" x14ac:dyDescent="0.2">
      <c r="C29" s="186"/>
      <c r="E29" s="9" t="s">
        <v>113</v>
      </c>
      <c r="F29" s="187">
        <f>InpActive!F10</f>
        <v>68.162237391477234</v>
      </c>
      <c r="G29" s="188" t="s">
        <v>178</v>
      </c>
      <c r="H29" s="188"/>
    </row>
    <row r="30" spans="1:8" s="9" customFormat="1" x14ac:dyDescent="0.2">
      <c r="C30" s="186"/>
      <c r="E30" s="9" t="s">
        <v>115</v>
      </c>
      <c r="F30" s="187">
        <f>InpActive!F19</f>
        <v>38.024658044703102</v>
      </c>
      <c r="G30" s="188" t="s">
        <v>178</v>
      </c>
      <c r="H30" s="188"/>
    </row>
    <row r="31" spans="1:8" s="9" customFormat="1" x14ac:dyDescent="0.2">
      <c r="C31" s="186"/>
      <c r="E31" s="9" t="s">
        <v>117</v>
      </c>
      <c r="F31" s="187">
        <f>InpActive!F28</f>
        <v>23.407184642159823</v>
      </c>
      <c r="G31" s="188" t="s">
        <v>178</v>
      </c>
      <c r="H31" s="188"/>
    </row>
    <row r="32" spans="1:8" s="9" customFormat="1" x14ac:dyDescent="0.2">
      <c r="C32" s="186"/>
      <c r="E32" s="9" t="s">
        <v>119</v>
      </c>
      <c r="F32" s="187">
        <f>InpActive!F37</f>
        <v>62.092410156792006</v>
      </c>
      <c r="G32" s="188" t="s">
        <v>178</v>
      </c>
      <c r="H32" s="188"/>
    </row>
    <row r="33" spans="1:8" s="9" customFormat="1" x14ac:dyDescent="0.2">
      <c r="C33" s="186"/>
      <c r="E33" s="9" t="s">
        <v>121</v>
      </c>
      <c r="F33" s="187">
        <f>InpActive!F46</f>
        <v>22.509122640012695</v>
      </c>
      <c r="G33" s="188" t="s">
        <v>178</v>
      </c>
      <c r="H33" s="188"/>
    </row>
    <row r="34" spans="1:8" s="9" customFormat="1" x14ac:dyDescent="0.2">
      <c r="C34" s="186"/>
      <c r="E34" s="9" t="s">
        <v>123</v>
      </c>
      <c r="F34" s="187">
        <f>InpActive!F55</f>
        <v>33.917511370515825</v>
      </c>
      <c r="G34" s="188" t="s">
        <v>178</v>
      </c>
      <c r="H34" s="188"/>
    </row>
    <row r="35" spans="1:8" s="9" customFormat="1" x14ac:dyDescent="0.2">
      <c r="C35" s="186"/>
      <c r="E35" s="9" t="s">
        <v>125</v>
      </c>
      <c r="F35" s="187">
        <f>InpActive!F64</f>
        <v>24.265829913911016</v>
      </c>
      <c r="G35" s="188" t="s">
        <v>178</v>
      </c>
      <c r="H35" s="188"/>
    </row>
    <row r="36" spans="1:8" s="9" customFormat="1" x14ac:dyDescent="0.2">
      <c r="C36" s="186"/>
      <c r="E36" s="9" t="s">
        <v>127</v>
      </c>
      <c r="F36" s="187">
        <f>InpActive!F73</f>
        <v>50.682571422640748</v>
      </c>
      <c r="G36" s="188" t="s">
        <v>178</v>
      </c>
      <c r="H36" s="188"/>
    </row>
    <row r="37" spans="1:8" s="9" customFormat="1" x14ac:dyDescent="0.2">
      <c r="C37" s="186"/>
      <c r="E37" s="9" t="s">
        <v>129</v>
      </c>
      <c r="F37" s="187">
        <f>InpActive!F82</f>
        <v>31.153419863236444</v>
      </c>
      <c r="G37" s="188" t="s">
        <v>178</v>
      </c>
      <c r="H37" s="188"/>
    </row>
    <row r="38" spans="1:8" s="9" customFormat="1" x14ac:dyDescent="0.2">
      <c r="C38" s="186"/>
      <c r="E38" s="9" t="s">
        <v>131</v>
      </c>
      <c r="F38" s="187">
        <f>InpActive!F91</f>
        <v>49.846777374923313</v>
      </c>
      <c r="G38" s="188" t="s">
        <v>178</v>
      </c>
      <c r="H38" s="188"/>
    </row>
    <row r="39" spans="1:8" s="9" customFormat="1" x14ac:dyDescent="0.2">
      <c r="C39" s="186"/>
      <c r="E39" s="9" t="s">
        <v>133</v>
      </c>
      <c r="F39" s="187">
        <f>InpActive!F100</f>
        <v>65.095454748204645</v>
      </c>
      <c r="G39" s="188" t="s">
        <v>178</v>
      </c>
      <c r="H39" s="188"/>
    </row>
    <row r="40" spans="1:8" s="9" customFormat="1" x14ac:dyDescent="0.2">
      <c r="C40" s="186"/>
      <c r="E40" s="9" t="s">
        <v>135</v>
      </c>
      <c r="F40" s="187">
        <f>InpActive!F109</f>
        <v>79.024133604668094</v>
      </c>
      <c r="G40" s="188" t="s">
        <v>178</v>
      </c>
      <c r="H40" s="188"/>
    </row>
    <row r="41" spans="1:8" s="9" customFormat="1" x14ac:dyDescent="0.2">
      <c r="C41" s="186"/>
      <c r="E41" s="9" t="s">
        <v>137</v>
      </c>
      <c r="F41" s="187">
        <f>InpActive!F118</f>
        <v>91.332618716761061</v>
      </c>
      <c r="G41" s="188" t="s">
        <v>178</v>
      </c>
      <c r="H41" s="188"/>
    </row>
    <row r="42" spans="1:8" s="9" customFormat="1" x14ac:dyDescent="0.2">
      <c r="C42" s="186"/>
      <c r="E42" s="9" t="s">
        <v>139</v>
      </c>
      <c r="F42" s="187">
        <f>InpActive!F127</f>
        <v>139.04627227690318</v>
      </c>
      <c r="G42" s="188" t="s">
        <v>178</v>
      </c>
      <c r="H42" s="188"/>
    </row>
    <row r="43" spans="1:8" s="9" customFormat="1" x14ac:dyDescent="0.2">
      <c r="C43" s="186"/>
      <c r="E43" s="9" t="s">
        <v>141</v>
      </c>
      <c r="F43" s="187">
        <f>InpActive!F136</f>
        <v>63.575979033598855</v>
      </c>
      <c r="G43" s="188" t="s">
        <v>178</v>
      </c>
      <c r="H43" s="188"/>
    </row>
    <row r="44" spans="1:8" s="9" customFormat="1" x14ac:dyDescent="0.2">
      <c r="C44" s="186"/>
      <c r="E44" s="9" t="s">
        <v>143</v>
      </c>
      <c r="F44" s="187">
        <f>InpActive!F145</f>
        <v>25.616219333603198</v>
      </c>
      <c r="G44" s="188" t="s">
        <v>178</v>
      </c>
      <c r="H44" s="188"/>
    </row>
    <row r="45" spans="1:8" s="9" customFormat="1" x14ac:dyDescent="0.2">
      <c r="C45" s="186"/>
      <c r="E45" s="9" t="s">
        <v>145</v>
      </c>
      <c r="F45" s="187">
        <f>InpActive!F154</f>
        <v>97.563099330085691</v>
      </c>
      <c r="G45" s="188" t="s">
        <v>178</v>
      </c>
      <c r="H45" s="188"/>
    </row>
    <row r="46" spans="1:8" x14ac:dyDescent="0.2">
      <c r="C46" s="6"/>
      <c r="G46" s="33"/>
      <c r="H46" s="31"/>
    </row>
    <row r="47" spans="1:8" s="2" customFormat="1" ht="13.5" x14ac:dyDescent="0.25">
      <c r="A47" s="2" t="s">
        <v>197</v>
      </c>
    </row>
    <row r="49" spans="2:8" x14ac:dyDescent="0.2">
      <c r="B49" s="8" t="s">
        <v>198</v>
      </c>
    </row>
    <row r="50" spans="2:8" x14ac:dyDescent="0.2">
      <c r="C50" s="6" t="s">
        <v>199</v>
      </c>
    </row>
    <row r="51" spans="2:8" x14ac:dyDescent="0.2">
      <c r="C51" s="6"/>
      <c r="E51" s="13" t="s">
        <v>113</v>
      </c>
      <c r="F51" s="80">
        <v>70.2</v>
      </c>
      <c r="G51" s="32" t="s">
        <v>178</v>
      </c>
      <c r="H51" s="29"/>
    </row>
    <row r="52" spans="2:8" x14ac:dyDescent="0.2">
      <c r="C52" s="6"/>
      <c r="E52" s="13" t="s">
        <v>115</v>
      </c>
      <c r="F52" s="80">
        <v>70.099999999999994</v>
      </c>
      <c r="G52" s="32" t="s">
        <v>178</v>
      </c>
      <c r="H52" s="29"/>
    </row>
    <row r="53" spans="2:8" x14ac:dyDescent="0.2">
      <c r="C53" s="6"/>
      <c r="E53" s="13" t="s">
        <v>117</v>
      </c>
      <c r="F53" s="80">
        <v>73.5</v>
      </c>
      <c r="G53" s="32" t="s">
        <v>178</v>
      </c>
      <c r="H53" s="29"/>
    </row>
    <row r="54" spans="2:8" x14ac:dyDescent="0.2">
      <c r="C54" s="6"/>
      <c r="E54" s="13" t="s">
        <v>119</v>
      </c>
      <c r="F54" s="80">
        <v>71.8</v>
      </c>
      <c r="G54" s="32" t="s">
        <v>178</v>
      </c>
      <c r="H54" s="29"/>
    </row>
    <row r="55" spans="2:8" x14ac:dyDescent="0.2">
      <c r="C55" s="6"/>
      <c r="E55" s="13" t="s">
        <v>121</v>
      </c>
      <c r="F55" s="80"/>
      <c r="G55" s="32" t="s">
        <v>178</v>
      </c>
      <c r="H55" s="29"/>
    </row>
    <row r="56" spans="2:8" x14ac:dyDescent="0.2">
      <c r="C56" s="6"/>
      <c r="E56" s="13" t="s">
        <v>123</v>
      </c>
      <c r="F56" s="80">
        <v>73.2</v>
      </c>
      <c r="G56" s="32" t="s">
        <v>178</v>
      </c>
      <c r="H56" s="29"/>
    </row>
    <row r="57" spans="2:8" x14ac:dyDescent="0.2">
      <c r="C57" s="6"/>
      <c r="E57" s="13" t="s">
        <v>125</v>
      </c>
      <c r="F57" s="80"/>
      <c r="G57" s="32" t="s">
        <v>178</v>
      </c>
      <c r="H57" s="29"/>
    </row>
    <row r="58" spans="2:8" x14ac:dyDescent="0.2">
      <c r="C58" s="6"/>
      <c r="E58" s="13" t="s">
        <v>127</v>
      </c>
      <c r="F58" s="80"/>
      <c r="G58" s="32" t="s">
        <v>178</v>
      </c>
      <c r="H58" s="29"/>
    </row>
    <row r="59" spans="2:8" x14ac:dyDescent="0.2">
      <c r="C59" s="6"/>
      <c r="E59" s="13" t="s">
        <v>129</v>
      </c>
      <c r="F59" s="80">
        <v>70.900000000000006</v>
      </c>
      <c r="G59" s="32" t="s">
        <v>178</v>
      </c>
      <c r="H59" s="29"/>
    </row>
    <row r="60" spans="2:8" x14ac:dyDescent="0.2">
      <c r="C60" s="6"/>
      <c r="E60" s="13" t="s">
        <v>131</v>
      </c>
      <c r="F60" s="80">
        <v>66.5</v>
      </c>
      <c r="G60" s="32" t="s">
        <v>178</v>
      </c>
      <c r="H60" s="29"/>
    </row>
    <row r="61" spans="2:8" x14ac:dyDescent="0.2">
      <c r="C61" s="6"/>
      <c r="E61" s="13" t="s">
        <v>133</v>
      </c>
      <c r="F61" s="80">
        <v>71.7</v>
      </c>
      <c r="G61" s="32" t="s">
        <v>178</v>
      </c>
      <c r="H61" s="29"/>
    </row>
    <row r="62" spans="2:8" x14ac:dyDescent="0.2">
      <c r="C62" s="6"/>
      <c r="E62" s="13" t="s">
        <v>135</v>
      </c>
      <c r="F62" s="80">
        <v>65.5</v>
      </c>
      <c r="G62" s="32" t="s">
        <v>178</v>
      </c>
      <c r="H62" s="29"/>
    </row>
    <row r="63" spans="2:8" x14ac:dyDescent="0.2">
      <c r="C63" s="6"/>
      <c r="E63" s="13" t="s">
        <v>137</v>
      </c>
      <c r="F63" s="80">
        <v>60.9</v>
      </c>
      <c r="G63" s="32" t="s">
        <v>178</v>
      </c>
      <c r="H63" s="29"/>
    </row>
    <row r="64" spans="2:8" x14ac:dyDescent="0.2">
      <c r="C64" s="6"/>
      <c r="E64" s="13" t="s">
        <v>139</v>
      </c>
      <c r="F64" s="80">
        <v>63.3</v>
      </c>
      <c r="G64" s="32" t="s">
        <v>178</v>
      </c>
      <c r="H64" s="29"/>
    </row>
    <row r="65" spans="1:8" x14ac:dyDescent="0.2">
      <c r="C65" s="6"/>
      <c r="E65" s="13" t="s">
        <v>141</v>
      </c>
      <c r="F65" s="80">
        <v>70.7</v>
      </c>
      <c r="G65" s="32" t="s">
        <v>178</v>
      </c>
      <c r="H65" s="29"/>
    </row>
    <row r="66" spans="1:8" x14ac:dyDescent="0.2">
      <c r="C66" s="6"/>
      <c r="E66" s="13" t="s">
        <v>143</v>
      </c>
      <c r="F66" s="80">
        <v>70</v>
      </c>
      <c r="G66" s="32" t="s">
        <v>178</v>
      </c>
      <c r="H66" s="29"/>
    </row>
    <row r="67" spans="1:8" x14ac:dyDescent="0.2">
      <c r="C67" s="6"/>
      <c r="E67" s="13" t="s">
        <v>145</v>
      </c>
      <c r="F67" s="80">
        <v>70</v>
      </c>
      <c r="G67" s="32" t="s">
        <v>178</v>
      </c>
      <c r="H67" s="29"/>
    </row>
    <row r="68" spans="1:8" x14ac:dyDescent="0.2">
      <c r="C68" s="6"/>
      <c r="G68" s="29"/>
      <c r="H68" s="29"/>
    </row>
    <row r="69" spans="1:8" x14ac:dyDescent="0.2">
      <c r="B69" s="8" t="s">
        <v>200</v>
      </c>
      <c r="G69" s="34"/>
      <c r="H69" s="34"/>
    </row>
    <row r="70" spans="1:8" x14ac:dyDescent="0.2">
      <c r="C70" s="6" t="s">
        <v>201</v>
      </c>
      <c r="G70" s="34"/>
      <c r="H70" s="34"/>
    </row>
    <row r="71" spans="1:8" s="13" customFormat="1" x14ac:dyDescent="0.2">
      <c r="C71" s="37"/>
      <c r="E71" s="13" t="s">
        <v>202</v>
      </c>
      <c r="F71" s="81">
        <v>79.400000000000006</v>
      </c>
      <c r="G71" s="32" t="s">
        <v>178</v>
      </c>
      <c r="H71" s="32"/>
    </row>
    <row r="73" spans="1:8" s="2" customFormat="1" ht="13.5" x14ac:dyDescent="0.25">
      <c r="A73" s="2" t="s">
        <v>203</v>
      </c>
    </row>
    <row r="75" spans="1:8" ht="15.75" x14ac:dyDescent="0.3">
      <c r="A75" s="5"/>
      <c r="B75" s="8" t="s">
        <v>204</v>
      </c>
      <c r="G75" s="13"/>
    </row>
    <row r="76" spans="1:8" x14ac:dyDescent="0.2">
      <c r="C76" s="6" t="s">
        <v>205</v>
      </c>
      <c r="G76" s="13"/>
    </row>
    <row r="77" spans="1:8" s="9" customFormat="1" x14ac:dyDescent="0.2">
      <c r="C77" s="186"/>
      <c r="E77" s="9" t="s">
        <v>113</v>
      </c>
      <c r="F77" s="187">
        <f>InpActive!F12</f>
        <v>27.849449529215899</v>
      </c>
      <c r="G77" s="9" t="s">
        <v>206</v>
      </c>
      <c r="H77" s="188"/>
    </row>
    <row r="78" spans="1:8" s="9" customFormat="1" x14ac:dyDescent="0.2">
      <c r="E78" s="9" t="s">
        <v>115</v>
      </c>
      <c r="F78" s="187">
        <f>InpActive!F21</f>
        <v>95.454594103550804</v>
      </c>
      <c r="G78" s="9" t="s">
        <v>206</v>
      </c>
      <c r="H78" s="188"/>
    </row>
    <row r="79" spans="1:8" s="9" customFormat="1" x14ac:dyDescent="0.2">
      <c r="E79" s="9" t="s">
        <v>117</v>
      </c>
      <c r="F79" s="187">
        <f>InpActive!F30</f>
        <v>12.1660468531585</v>
      </c>
      <c r="G79" s="9" t="s">
        <v>206</v>
      </c>
      <c r="H79" s="188"/>
    </row>
    <row r="80" spans="1:8" s="9" customFormat="1" x14ac:dyDescent="0.2">
      <c r="E80" s="9" t="s">
        <v>119</v>
      </c>
      <c r="F80" s="187">
        <f>InpActive!F39</f>
        <v>49.0706295680897</v>
      </c>
      <c r="G80" s="9" t="s">
        <v>206</v>
      </c>
      <c r="H80" s="188"/>
    </row>
    <row r="81" spans="1:8" s="9" customFormat="1" x14ac:dyDescent="0.2">
      <c r="E81" s="9" t="s">
        <v>121</v>
      </c>
      <c r="F81" s="187">
        <f>InpActive!F48</f>
        <v>2.9098685944812801</v>
      </c>
      <c r="G81" s="9" t="s">
        <v>206</v>
      </c>
      <c r="H81" s="188"/>
    </row>
    <row r="82" spans="1:8" s="9" customFormat="1" x14ac:dyDescent="0.2">
      <c r="E82" s="9" t="s">
        <v>123</v>
      </c>
      <c r="F82" s="187">
        <f>InpActive!F57</f>
        <v>65.236250473582899</v>
      </c>
      <c r="G82" s="9" t="s">
        <v>206</v>
      </c>
      <c r="H82" s="188"/>
    </row>
    <row r="83" spans="1:8" s="9" customFormat="1" x14ac:dyDescent="0.2">
      <c r="E83" s="9" t="s">
        <v>125</v>
      </c>
      <c r="F83" s="187">
        <f>InpActive!F66</f>
        <v>5.17844985008285</v>
      </c>
      <c r="G83" s="9" t="s">
        <v>206</v>
      </c>
      <c r="H83" s="188"/>
    </row>
    <row r="84" spans="1:8" s="9" customFormat="1" x14ac:dyDescent="0.2">
      <c r="E84" s="9" t="s">
        <v>127</v>
      </c>
      <c r="F84" s="187">
        <f>InpActive!F75</f>
        <v>5.1641442057692704</v>
      </c>
      <c r="G84" s="9" t="s">
        <v>206</v>
      </c>
      <c r="H84" s="188"/>
    </row>
    <row r="85" spans="1:8" s="9" customFormat="1" x14ac:dyDescent="0.2">
      <c r="E85" s="9" t="s">
        <v>129</v>
      </c>
      <c r="F85" s="187">
        <f>InpActive!F84</f>
        <v>107.434052353943</v>
      </c>
      <c r="G85" s="9" t="s">
        <v>206</v>
      </c>
      <c r="H85" s="188"/>
    </row>
    <row r="86" spans="1:8" s="9" customFormat="1" x14ac:dyDescent="0.2">
      <c r="E86" s="9" t="s">
        <v>131</v>
      </c>
      <c r="F86" s="187">
        <f>InpActive!F93</f>
        <v>18.8398367043748</v>
      </c>
      <c r="G86" s="9" t="s">
        <v>206</v>
      </c>
      <c r="H86" s="188"/>
    </row>
    <row r="87" spans="1:8" s="9" customFormat="1" x14ac:dyDescent="0.2">
      <c r="E87" s="9" t="s">
        <v>133</v>
      </c>
      <c r="F87" s="187">
        <f>InpActive!F102</f>
        <v>15.1871574214207</v>
      </c>
      <c r="G87" s="9" t="s">
        <v>206</v>
      </c>
      <c r="H87" s="188"/>
    </row>
    <row r="88" spans="1:8" s="9" customFormat="1" x14ac:dyDescent="0.2">
      <c r="E88" s="9" t="s">
        <v>135</v>
      </c>
      <c r="F88" s="187">
        <f>InpActive!F111</f>
        <v>29.633099317905401</v>
      </c>
      <c r="G88" s="9" t="s">
        <v>206</v>
      </c>
      <c r="H88" s="188"/>
    </row>
    <row r="89" spans="1:8" s="9" customFormat="1" x14ac:dyDescent="0.2">
      <c r="E89" s="9" t="s">
        <v>137</v>
      </c>
      <c r="F89" s="187">
        <f>InpActive!F120</f>
        <v>48.454014498771798</v>
      </c>
      <c r="G89" s="9" t="s">
        <v>206</v>
      </c>
      <c r="H89" s="188"/>
    </row>
    <row r="90" spans="1:8" s="9" customFormat="1" x14ac:dyDescent="0.2">
      <c r="E90" s="9" t="s">
        <v>139</v>
      </c>
      <c r="F90" s="187">
        <f>InpActive!F129</f>
        <v>124.749670660169</v>
      </c>
      <c r="G90" s="9" t="s">
        <v>206</v>
      </c>
      <c r="H90" s="188"/>
    </row>
    <row r="91" spans="1:8" s="9" customFormat="1" x14ac:dyDescent="0.2">
      <c r="E91" s="9" t="s">
        <v>141</v>
      </c>
      <c r="F91" s="187">
        <f>InpActive!F138</f>
        <v>127.598345901198</v>
      </c>
      <c r="G91" s="9" t="s">
        <v>206</v>
      </c>
      <c r="H91" s="188"/>
    </row>
    <row r="92" spans="1:8" s="9" customFormat="1" x14ac:dyDescent="0.2">
      <c r="E92" s="9" t="s">
        <v>143</v>
      </c>
      <c r="F92" s="187">
        <f>InpActive!F147</f>
        <v>33.088091625028397</v>
      </c>
      <c r="G92" s="9" t="s">
        <v>206</v>
      </c>
      <c r="H92" s="188"/>
    </row>
    <row r="93" spans="1:8" s="9" customFormat="1" x14ac:dyDescent="0.2">
      <c r="E93" s="9" t="s">
        <v>145</v>
      </c>
      <c r="F93" s="187">
        <f>InpActive!F156</f>
        <v>75.403938109161203</v>
      </c>
      <c r="G93" s="9" t="s">
        <v>206</v>
      </c>
      <c r="H93" s="188"/>
    </row>
    <row r="95" spans="1:8" s="2" customFormat="1" ht="13.5" x14ac:dyDescent="0.25">
      <c r="A95" s="2" t="s">
        <v>207</v>
      </c>
    </row>
    <row r="97" spans="1:26" s="19" customFormat="1" x14ac:dyDescent="0.2">
      <c r="E97" s="19" t="s">
        <v>208</v>
      </c>
      <c r="G97" s="19" t="s">
        <v>172</v>
      </c>
      <c r="J97" s="19" t="str">
        <f>Inputs!E7</f>
        <v>Affinity Water</v>
      </c>
      <c r="K97" s="19" t="str">
        <f>Inputs!E8</f>
        <v>Anglian Water</v>
      </c>
      <c r="L97" s="19" t="str">
        <f>Inputs!E9</f>
        <v>Bristol Water</v>
      </c>
      <c r="M97" s="19" t="str">
        <f>Inputs!E10</f>
        <v>Dŵr Cymru</v>
      </c>
      <c r="N97" s="19" t="str">
        <f>Inputs!E11</f>
        <v>Hafren Dyfrdwy</v>
      </c>
      <c r="O97" s="19" t="str">
        <f>Inputs!E12</f>
        <v>Northumbrian Water</v>
      </c>
      <c r="P97" s="19" t="str">
        <f>Inputs!E13</f>
        <v>Portsmouth Water</v>
      </c>
      <c r="Q97" s="19" t="str">
        <f>Inputs!E14</f>
        <v>SES Water</v>
      </c>
      <c r="R97" s="19" t="str">
        <f>Inputs!E15</f>
        <v>Severn Trent Water</v>
      </c>
      <c r="S97" s="19" t="str">
        <f>Inputs!E16</f>
        <v>South East Water</v>
      </c>
      <c r="T97" s="19" t="str">
        <f>Inputs!E17</f>
        <v>South Staffs Water</v>
      </c>
      <c r="U97" s="19" t="str">
        <f>Inputs!E18</f>
        <v>South West Water</v>
      </c>
      <c r="V97" s="19" t="str">
        <f>Inputs!E19</f>
        <v>Southern Water</v>
      </c>
      <c r="W97" s="19" t="str">
        <f>Inputs!E20</f>
        <v>Thames Water</v>
      </c>
      <c r="X97" s="19" t="str">
        <f>Inputs!E21</f>
        <v>United Utilities</v>
      </c>
      <c r="Y97" s="19" t="str">
        <f>Inputs!E22</f>
        <v>Wessex Water</v>
      </c>
      <c r="Z97" s="19" t="str">
        <f>Inputs!E23</f>
        <v>Yorkshire Water</v>
      </c>
    </row>
    <row r="98" spans="1:26" s="19" customFormat="1" x14ac:dyDescent="0.2">
      <c r="E98" s="19" t="s">
        <v>209</v>
      </c>
      <c r="G98" s="19" t="s">
        <v>178</v>
      </c>
      <c r="J98" s="44">
        <f>INDEX($F$7:$F$23,MATCH(J$97,$E$7:$E$23,0))</f>
        <v>70.099999999999994</v>
      </c>
      <c r="K98" s="44">
        <f t="shared" ref="K98:Z98" si="0">INDEX($F$7:$F$23,MATCH(K$97,$E$7:$E$23,0))</f>
        <v>77.38</v>
      </c>
      <c r="L98" s="44">
        <f t="shared" si="0"/>
        <v>77.760000000000005</v>
      </c>
      <c r="M98" s="44">
        <f t="shared" si="0"/>
        <v>79.56</v>
      </c>
      <c r="N98" s="44">
        <f t="shared" si="0"/>
        <v>77.61</v>
      </c>
      <c r="O98" s="44">
        <f t="shared" si="0"/>
        <v>80.36</v>
      </c>
      <c r="P98" s="44">
        <f t="shared" si="0"/>
        <v>77.78</v>
      </c>
      <c r="Q98" s="44">
        <f t="shared" si="0"/>
        <v>69.72</v>
      </c>
      <c r="R98" s="44">
        <f t="shared" si="0"/>
        <v>74.42</v>
      </c>
      <c r="S98" s="44">
        <f t="shared" si="0"/>
        <v>71.819999999999993</v>
      </c>
      <c r="T98" s="44">
        <f t="shared" si="0"/>
        <v>74.739999999999995</v>
      </c>
      <c r="U98" s="44">
        <f t="shared" si="0"/>
        <v>69.48</v>
      </c>
      <c r="V98" s="44">
        <f t="shared" si="0"/>
        <v>65.13</v>
      </c>
      <c r="W98" s="44">
        <f t="shared" si="0"/>
        <v>61.44</v>
      </c>
      <c r="X98" s="44">
        <f t="shared" si="0"/>
        <v>76.36</v>
      </c>
      <c r="Y98" s="44">
        <f t="shared" si="0"/>
        <v>79.709999999999994</v>
      </c>
      <c r="Z98" s="44">
        <f t="shared" si="0"/>
        <v>74.48</v>
      </c>
    </row>
    <row r="99" spans="1:26" s="19" customFormat="1" x14ac:dyDescent="0.2">
      <c r="E99" s="19" t="s">
        <v>195</v>
      </c>
      <c r="G99" s="19" t="s">
        <v>178</v>
      </c>
      <c r="J99" s="44">
        <f>INDEX($F$29:$F$45,MATCH(J$97,$E$29:$E$45,0))</f>
        <v>68.162237391477234</v>
      </c>
      <c r="K99" s="44">
        <f t="shared" ref="K99:Z99" si="1">INDEX($F$29:$F$45,MATCH(K$97,$E$29:$E$45,0))</f>
        <v>38.024658044703102</v>
      </c>
      <c r="L99" s="44">
        <f t="shared" si="1"/>
        <v>23.407184642159823</v>
      </c>
      <c r="M99" s="44">
        <f t="shared" si="1"/>
        <v>62.092410156792006</v>
      </c>
      <c r="N99" s="44">
        <f t="shared" si="1"/>
        <v>22.509122640012695</v>
      </c>
      <c r="O99" s="44">
        <f t="shared" si="1"/>
        <v>33.917511370515825</v>
      </c>
      <c r="P99" s="44">
        <f t="shared" si="1"/>
        <v>24.265829913911016</v>
      </c>
      <c r="Q99" s="44">
        <f t="shared" si="1"/>
        <v>50.682571422640748</v>
      </c>
      <c r="R99" s="44">
        <f t="shared" si="1"/>
        <v>31.153419863236444</v>
      </c>
      <c r="S99" s="44">
        <f t="shared" si="1"/>
        <v>49.846777374923313</v>
      </c>
      <c r="T99" s="44">
        <f t="shared" si="1"/>
        <v>65.095454748204645</v>
      </c>
      <c r="U99" s="44">
        <f t="shared" si="1"/>
        <v>79.024133604668094</v>
      </c>
      <c r="V99" s="44">
        <f t="shared" si="1"/>
        <v>91.332618716761061</v>
      </c>
      <c r="W99" s="44">
        <f t="shared" si="1"/>
        <v>139.04627227690318</v>
      </c>
      <c r="X99" s="44">
        <f t="shared" si="1"/>
        <v>63.575979033598855</v>
      </c>
      <c r="Y99" s="44">
        <f t="shared" si="1"/>
        <v>25.616219333603198</v>
      </c>
      <c r="Z99" s="44">
        <f t="shared" si="1"/>
        <v>97.563099330085691</v>
      </c>
    </row>
    <row r="100" spans="1:26" s="19" customFormat="1" x14ac:dyDescent="0.2">
      <c r="E100" s="19" t="s">
        <v>210</v>
      </c>
      <c r="G100" s="19" t="s">
        <v>178</v>
      </c>
      <c r="J100" s="44">
        <f>INDEX($F$51:$F$67,MATCH(J$97,$E$51:$E$67,0))</f>
        <v>70.2</v>
      </c>
      <c r="K100" s="44">
        <f t="shared" ref="K100:Z100" si="2">INDEX($F$51:$F$67,MATCH(K$97,$E$51:$E$67,0))</f>
        <v>70.099999999999994</v>
      </c>
      <c r="L100" s="44">
        <f t="shared" si="2"/>
        <v>73.5</v>
      </c>
      <c r="M100" s="44">
        <f t="shared" si="2"/>
        <v>71.8</v>
      </c>
      <c r="N100" s="44">
        <f t="shared" si="2"/>
        <v>0</v>
      </c>
      <c r="O100" s="44">
        <f t="shared" si="2"/>
        <v>73.2</v>
      </c>
      <c r="P100" s="44">
        <f t="shared" si="2"/>
        <v>0</v>
      </c>
      <c r="Q100" s="44">
        <f t="shared" si="2"/>
        <v>0</v>
      </c>
      <c r="R100" s="44">
        <f t="shared" si="2"/>
        <v>70.900000000000006</v>
      </c>
      <c r="S100" s="44">
        <f t="shared" si="2"/>
        <v>66.5</v>
      </c>
      <c r="T100" s="44">
        <f t="shared" si="2"/>
        <v>71.7</v>
      </c>
      <c r="U100" s="44">
        <f t="shared" si="2"/>
        <v>65.5</v>
      </c>
      <c r="V100" s="44">
        <f t="shared" si="2"/>
        <v>60.9</v>
      </c>
      <c r="W100" s="44">
        <f t="shared" si="2"/>
        <v>63.3</v>
      </c>
      <c r="X100" s="44">
        <f t="shared" si="2"/>
        <v>70.7</v>
      </c>
      <c r="Y100" s="44">
        <f t="shared" si="2"/>
        <v>70</v>
      </c>
      <c r="Z100" s="44">
        <f t="shared" si="2"/>
        <v>70</v>
      </c>
    </row>
    <row r="101" spans="1:26" s="19" customFormat="1" x14ac:dyDescent="0.2">
      <c r="E101" s="19" t="s">
        <v>211</v>
      </c>
      <c r="G101" s="19" t="s">
        <v>206</v>
      </c>
      <c r="J101" s="36">
        <f>INDEX($F$77:$F$93,MATCH(J$97,$E$77:$E$93,0))</f>
        <v>27.849449529215899</v>
      </c>
      <c r="K101" s="36">
        <f t="shared" ref="K101:Z101" si="3">INDEX($F$77:$F$93,MATCH(K$97,$E$77:$E$93,0))</f>
        <v>95.454594103550804</v>
      </c>
      <c r="L101" s="36">
        <f t="shared" si="3"/>
        <v>12.1660468531585</v>
      </c>
      <c r="M101" s="36">
        <f t="shared" si="3"/>
        <v>49.0706295680897</v>
      </c>
      <c r="N101" s="36">
        <f t="shared" si="3"/>
        <v>2.9098685944812801</v>
      </c>
      <c r="O101" s="36">
        <f t="shared" si="3"/>
        <v>65.236250473582899</v>
      </c>
      <c r="P101" s="36">
        <f t="shared" si="3"/>
        <v>5.17844985008285</v>
      </c>
      <c r="Q101" s="36">
        <f t="shared" si="3"/>
        <v>5.1641442057692704</v>
      </c>
      <c r="R101" s="36">
        <f>INDEX($F$77:$F$93,MATCH(R$97,$E$77:$E$93,0))</f>
        <v>107.434052353943</v>
      </c>
      <c r="S101" s="36">
        <f t="shared" si="3"/>
        <v>18.8398367043748</v>
      </c>
      <c r="T101" s="36">
        <f t="shared" si="3"/>
        <v>15.1871574214207</v>
      </c>
      <c r="U101" s="36">
        <f t="shared" si="3"/>
        <v>29.633099317905401</v>
      </c>
      <c r="V101" s="36">
        <f t="shared" si="3"/>
        <v>48.454014498771798</v>
      </c>
      <c r="W101" s="36">
        <f t="shared" si="3"/>
        <v>124.749670660169</v>
      </c>
      <c r="X101" s="36">
        <f t="shared" si="3"/>
        <v>127.598345901198</v>
      </c>
      <c r="Y101" s="36">
        <f t="shared" si="3"/>
        <v>33.088091625028397</v>
      </c>
      <c r="Z101" s="36">
        <f t="shared" si="3"/>
        <v>75.403938109161203</v>
      </c>
    </row>
    <row r="102" spans="1:26" x14ac:dyDescent="0.2">
      <c r="J102" s="23"/>
      <c r="K102" s="23"/>
      <c r="L102" s="23"/>
      <c r="M102" s="23"/>
      <c r="N102" s="23"/>
      <c r="O102" s="23"/>
      <c r="P102" s="23"/>
      <c r="Q102" s="23"/>
      <c r="R102" s="23"/>
      <c r="S102" s="23"/>
      <c r="T102" s="23"/>
      <c r="U102" s="23"/>
      <c r="V102" s="23"/>
      <c r="W102" s="23"/>
      <c r="X102" s="23"/>
      <c r="Y102" s="23"/>
      <c r="Z102" s="23"/>
    </row>
    <row r="103" spans="1:26" s="2" customFormat="1" ht="13.5" x14ac:dyDescent="0.25">
      <c r="A103" s="2" t="s">
        <v>212</v>
      </c>
    </row>
    <row r="104" spans="1:26" x14ac:dyDescent="0.2">
      <c r="G104" s="13"/>
    </row>
    <row r="105" spans="1:26" s="13" customFormat="1" x14ac:dyDescent="0.2">
      <c r="B105" s="41" t="s">
        <v>213</v>
      </c>
      <c r="G105" s="32"/>
      <c r="H105" s="32"/>
    </row>
    <row r="106" spans="1:26" s="13" customFormat="1" x14ac:dyDescent="0.2">
      <c r="B106" s="42"/>
      <c r="C106" s="37"/>
      <c r="E106" s="13" t="s">
        <v>214</v>
      </c>
      <c r="F106" s="82">
        <v>0.06</v>
      </c>
      <c r="G106" s="32" t="s">
        <v>215</v>
      </c>
      <c r="H106" s="32"/>
    </row>
    <row r="107" spans="1:26" s="13" customFormat="1" x14ac:dyDescent="0.2">
      <c r="B107" s="42"/>
      <c r="C107" s="37"/>
      <c r="E107" s="13" t="s">
        <v>216</v>
      </c>
      <c r="F107" s="82">
        <v>-0.12</v>
      </c>
      <c r="G107" s="32" t="s">
        <v>215</v>
      </c>
      <c r="H107" s="32"/>
    </row>
    <row r="108" spans="1:26" s="13" customFormat="1" x14ac:dyDescent="0.2">
      <c r="B108" s="42"/>
      <c r="C108" s="37"/>
      <c r="G108" s="32"/>
      <c r="H108" s="32"/>
    </row>
    <row r="109" spans="1:26" s="13" customFormat="1" x14ac:dyDescent="0.2">
      <c r="B109" s="43" t="s">
        <v>217</v>
      </c>
      <c r="G109" s="32"/>
      <c r="H109" s="32"/>
    </row>
    <row r="110" spans="1:26" s="13" customFormat="1" x14ac:dyDescent="0.2">
      <c r="B110" s="42"/>
      <c r="C110" s="37"/>
      <c r="E110" s="13" t="s">
        <v>218</v>
      </c>
      <c r="F110" s="83">
        <v>3</v>
      </c>
      <c r="G110" s="32" t="s">
        <v>178</v>
      </c>
      <c r="H110" s="32"/>
    </row>
    <row r="111" spans="1:26" s="13" customFormat="1" x14ac:dyDescent="0.2">
      <c r="B111" s="42"/>
      <c r="C111" s="37"/>
      <c r="G111" s="32"/>
      <c r="H111" s="32"/>
    </row>
    <row r="112" spans="1:26" s="13" customFormat="1" x14ac:dyDescent="0.2">
      <c r="B112" s="43" t="s">
        <v>219</v>
      </c>
      <c r="C112" s="37"/>
      <c r="G112" s="32"/>
      <c r="H112" s="32"/>
    </row>
    <row r="113" spans="1:8" s="13" customFormat="1" x14ac:dyDescent="0.2">
      <c r="C113" s="37"/>
      <c r="E113" s="13" t="s">
        <v>220</v>
      </c>
      <c r="F113" s="82">
        <v>0.06</v>
      </c>
      <c r="G113" s="32" t="s">
        <v>215</v>
      </c>
      <c r="H113" s="32"/>
    </row>
    <row r="114" spans="1:8" s="13" customFormat="1" x14ac:dyDescent="0.2">
      <c r="C114" s="37"/>
      <c r="E114" s="13" t="s">
        <v>221</v>
      </c>
      <c r="F114" s="82">
        <v>0.04</v>
      </c>
      <c r="G114" s="32" t="s">
        <v>215</v>
      </c>
      <c r="H114" s="32"/>
    </row>
    <row r="115" spans="1:8" s="13" customFormat="1" x14ac:dyDescent="0.2">
      <c r="C115" s="37"/>
      <c r="E115" s="13" t="s">
        <v>222</v>
      </c>
      <c r="F115" s="82">
        <v>0.02</v>
      </c>
      <c r="G115" s="32" t="s">
        <v>215</v>
      </c>
      <c r="H115" s="32"/>
    </row>
    <row r="116" spans="1:8" s="13" customFormat="1" x14ac:dyDescent="0.2">
      <c r="C116" s="37"/>
      <c r="G116" s="32"/>
      <c r="H116" s="32"/>
    </row>
    <row r="117" spans="1:8" s="13" customFormat="1" x14ac:dyDescent="0.2">
      <c r="B117" s="43" t="s">
        <v>223</v>
      </c>
      <c r="C117" s="37"/>
      <c r="G117" s="32"/>
      <c r="H117" s="32"/>
    </row>
    <row r="118" spans="1:8" s="13" customFormat="1" x14ac:dyDescent="0.2">
      <c r="C118" s="37"/>
      <c r="E118" s="206" t="s">
        <v>224</v>
      </c>
      <c r="F118" s="83">
        <v>1</v>
      </c>
      <c r="G118" s="205" t="s">
        <v>225</v>
      </c>
      <c r="H118" s="32"/>
    </row>
    <row r="120" spans="1:8" s="7" customFormat="1" ht="13.5" x14ac:dyDescent="0.25">
      <c r="A120" s="7" t="s">
        <v>43</v>
      </c>
    </row>
  </sheetData>
  <dataValidations count="5">
    <dataValidation type="decimal" allowBlank="1" showInputMessage="1" showErrorMessage="1" sqref="F71 F51:F66" xr:uid="{00000000-0002-0000-0600-000000000000}">
      <formula1>0</formula1>
      <formula2>10000</formula2>
    </dataValidation>
    <dataValidation type="decimal" allowBlank="1" showInputMessage="1" showErrorMessage="1" sqref="F67 F7:F24 F29:F45 F77:F93" xr:uid="{00000000-0002-0000-0600-000001000000}">
      <formula1>0</formula1>
      <formula2>100</formula2>
    </dataValidation>
    <dataValidation type="decimal" allowBlank="1" showInputMessage="1" showErrorMessage="1" sqref="F106:F107" xr:uid="{00000000-0002-0000-0600-000003000000}">
      <formula1>-1</formula1>
      <formula2>1</formula2>
    </dataValidation>
    <dataValidation type="whole" allowBlank="1" showInputMessage="1" showErrorMessage="1" sqref="F110" xr:uid="{00000000-0002-0000-0600-000004000000}">
      <formula1>1</formula1>
      <formula2>17</formula2>
    </dataValidation>
    <dataValidation type="decimal" allowBlank="1" showInputMessage="1" showErrorMessage="1" sqref="F113:F115 F118" xr:uid="{00000000-0002-0000-0600-000005000000}">
      <formula1>0</formula1>
      <formula2>1</formula2>
    </dataValidation>
  </dataValidations>
  <pageMargins left="0.70866141732283472" right="0.70866141732283472" top="0.74803149606299213" bottom="0.74803149606299213" header="0.31496062992125984" footer="0.31496062992125984"/>
  <pageSetup paperSize="8" scale="64" fitToHeight="0" orientation="landscape" r:id="rId1"/>
  <headerFooter>
    <oddHeader>&amp;L&amp;F&amp;CSheet: &amp;A&amp;ROFFICIAL</oddHeader>
    <oddFooter>&amp;LPrinted on &amp;D at &amp;T&amp;CPage &amp;P of &amp;N&amp;ROfwat</oddFooter>
  </headerFooter>
  <rowBreaks count="3" manualBreakCount="3">
    <brk id="46" max="16383" man="1"/>
    <brk id="24" max="16383" man="1"/>
    <brk id="7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6000000}">
          <x14:formula1>
            <xm:f>Validation!$B$4:$B$20</xm:f>
          </x14:formula1>
          <xm:sqref>E7:E23 E29:E45 E51:E67 E77:E93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1FFE-6819-4ADE-B3CD-17600F4F799D}">
  <sheetPr>
    <outlinePr summaryBelow="0" summaryRight="0"/>
    <pageSetUpPr fitToPage="1"/>
  </sheetPr>
  <dimension ref="A1:S40"/>
  <sheetViews>
    <sheetView showGridLines="0" zoomScale="80" zoomScaleNormal="80" workbookViewId="0"/>
  </sheetViews>
  <sheetFormatPr defaultColWidth="0" defaultRowHeight="12.75" customHeight="1" zeroHeight="1" x14ac:dyDescent="0.2"/>
  <cols>
    <col min="1" max="1" width="1.85546875" style="180" customWidth="1"/>
    <col min="2" max="2" width="1.85546875" style="181" customWidth="1"/>
    <col min="3" max="3" width="1.85546875" style="182" customWidth="1"/>
    <col min="4" max="4" width="1.85546875" style="183" customWidth="1"/>
    <col min="5" max="5" width="52.140625" style="183" customWidth="1"/>
    <col min="6" max="6" width="19.5703125" style="183" bestFit="1" customWidth="1"/>
    <col min="7" max="7" width="17.85546875" style="183" customWidth="1"/>
    <col min="8" max="8" width="17.85546875" style="184" customWidth="1"/>
    <col min="9" max="9" width="3" style="184" customWidth="1"/>
    <col min="10" max="19" width="11" style="184" customWidth="1"/>
    <col min="20" max="16384" width="0" style="184" hidden="1"/>
  </cols>
  <sheetData>
    <row r="1" spans="1:19" s="138" customFormat="1" ht="30" x14ac:dyDescent="0.4">
      <c r="A1" s="132" t="str">
        <f ca="1" xml:space="preserve"> RIGHT(CELL("filename", $A$1), LEN(CELL("filename", $A$1)) - SEARCH("]", CELL("filename", $A$1)))</f>
        <v>Index</v>
      </c>
      <c r="B1" s="133"/>
      <c r="C1" s="134"/>
      <c r="D1" s="135"/>
      <c r="E1" s="135"/>
      <c r="F1" s="1" t="str">
        <f xml:space="preserve"> Inputs!$F$1</f>
        <v>2023-24</v>
      </c>
      <c r="G1" s="135"/>
      <c r="H1" s="136"/>
      <c r="I1" s="137"/>
      <c r="J1" s="137"/>
      <c r="K1" s="137"/>
      <c r="L1" s="137"/>
      <c r="M1" s="137"/>
      <c r="N1" s="137"/>
      <c r="O1" s="137"/>
      <c r="P1" s="137"/>
      <c r="Q1" s="137"/>
      <c r="R1" s="137"/>
      <c r="S1" s="137"/>
    </row>
    <row r="2" spans="1:19" s="145" customFormat="1" x14ac:dyDescent="0.2">
      <c r="A2" s="139"/>
      <c r="B2" s="140"/>
      <c r="C2" s="141"/>
      <c r="D2" s="142"/>
      <c r="E2" s="143" t="s">
        <v>226</v>
      </c>
      <c r="F2" s="143"/>
      <c r="G2" s="143"/>
      <c r="H2" s="144"/>
      <c r="I2" s="144"/>
      <c r="J2" s="144">
        <v>42460</v>
      </c>
      <c r="K2" s="144">
        <v>42825</v>
      </c>
      <c r="L2" s="144">
        <v>43190</v>
      </c>
      <c r="M2" s="144">
        <v>43555</v>
      </c>
      <c r="N2" s="144">
        <v>43921</v>
      </c>
      <c r="O2" s="144">
        <v>44286</v>
      </c>
      <c r="P2" s="144">
        <v>44651</v>
      </c>
      <c r="Q2" s="144">
        <v>45016</v>
      </c>
      <c r="R2" s="144">
        <v>45382</v>
      </c>
      <c r="S2" s="144">
        <v>45747</v>
      </c>
    </row>
    <row r="3" spans="1:19" s="148" customFormat="1" x14ac:dyDescent="0.2">
      <c r="A3" s="146"/>
      <c r="B3" s="140"/>
      <c r="C3" s="141"/>
      <c r="D3" s="142"/>
      <c r="E3" s="143" t="s">
        <v>227</v>
      </c>
      <c r="F3" s="143"/>
      <c r="G3" s="143"/>
      <c r="H3" s="144"/>
      <c r="I3" s="144"/>
      <c r="J3" s="147" t="s">
        <v>228</v>
      </c>
      <c r="K3" s="147" t="s">
        <v>228</v>
      </c>
      <c r="L3" s="147" t="s">
        <v>228</v>
      </c>
      <c r="M3" s="147" t="s">
        <v>228</v>
      </c>
      <c r="N3" s="147" t="s">
        <v>228</v>
      </c>
      <c r="O3" s="147" t="s">
        <v>229</v>
      </c>
      <c r="P3" s="147" t="s">
        <v>229</v>
      </c>
      <c r="Q3" s="147" t="s">
        <v>229</v>
      </c>
      <c r="R3" s="147" t="s">
        <v>229</v>
      </c>
      <c r="S3" s="147" t="s">
        <v>229</v>
      </c>
    </row>
    <row r="4" spans="1:19" s="152" customFormat="1" x14ac:dyDescent="0.2">
      <c r="A4" s="146"/>
      <c r="B4" s="140"/>
      <c r="C4" s="141"/>
      <c r="D4" s="142"/>
      <c r="E4" s="149" t="s">
        <v>230</v>
      </c>
      <c r="F4" s="149"/>
      <c r="G4" s="149"/>
      <c r="H4" s="150"/>
      <c r="I4" s="150"/>
      <c r="J4" s="151">
        <v>2016</v>
      </c>
      <c r="K4" s="151">
        <v>2017</v>
      </c>
      <c r="L4" s="151">
        <v>2018</v>
      </c>
      <c r="M4" s="151">
        <v>2019</v>
      </c>
      <c r="N4" s="151">
        <v>2020</v>
      </c>
      <c r="O4" s="151">
        <v>2021</v>
      </c>
      <c r="P4" s="151">
        <v>2022</v>
      </c>
      <c r="Q4" s="151">
        <v>2023</v>
      </c>
      <c r="R4" s="151">
        <v>2024</v>
      </c>
      <c r="S4" s="151">
        <v>2025</v>
      </c>
    </row>
    <row r="5" spans="1:19" s="154" customFormat="1" x14ac:dyDescent="0.2">
      <c r="A5" s="146"/>
      <c r="B5" s="140"/>
      <c r="C5" s="141"/>
      <c r="D5" s="142"/>
      <c r="E5" s="149" t="s">
        <v>231</v>
      </c>
      <c r="F5" s="146" t="s">
        <v>189</v>
      </c>
      <c r="G5" s="146" t="s">
        <v>151</v>
      </c>
      <c r="H5" s="148" t="s">
        <v>190</v>
      </c>
      <c r="I5" s="153"/>
      <c r="J5" s="153">
        <v>1</v>
      </c>
      <c r="K5" s="153">
        <v>2</v>
      </c>
      <c r="L5" s="153">
        <v>3</v>
      </c>
      <c r="M5" s="153">
        <v>4</v>
      </c>
      <c r="N5" s="153">
        <v>5</v>
      </c>
      <c r="O5" s="153">
        <v>6</v>
      </c>
      <c r="P5" s="153">
        <v>7</v>
      </c>
      <c r="Q5" s="153">
        <v>8</v>
      </c>
      <c r="R5" s="153">
        <v>9</v>
      </c>
      <c r="S5" s="153">
        <v>10</v>
      </c>
    </row>
    <row r="6" spans="1:19" s="155" customFormat="1" x14ac:dyDescent="0.2">
      <c r="B6" s="156"/>
      <c r="C6" s="157"/>
      <c r="D6" s="158"/>
      <c r="E6" s="159"/>
      <c r="I6" s="159"/>
      <c r="J6" s="159"/>
      <c r="K6" s="159"/>
      <c r="L6" s="159"/>
      <c r="M6" s="159"/>
      <c r="N6" s="159"/>
      <c r="O6" s="159"/>
      <c r="P6" s="159"/>
      <c r="Q6" s="159"/>
      <c r="R6" s="159"/>
      <c r="S6" s="159"/>
    </row>
    <row r="7" spans="1:19" s="155" customFormat="1" x14ac:dyDescent="0.2">
      <c r="B7" s="156"/>
      <c r="C7" s="157"/>
      <c r="D7" s="158"/>
      <c r="E7" s="159"/>
      <c r="I7" s="159"/>
      <c r="J7" s="159"/>
      <c r="K7" s="159"/>
      <c r="L7" s="159"/>
      <c r="M7" s="159"/>
      <c r="N7" s="159"/>
      <c r="O7" s="159"/>
      <c r="P7" s="159"/>
      <c r="Q7" s="159"/>
      <c r="R7" s="159"/>
      <c r="S7" s="159"/>
    </row>
    <row r="8" spans="1:19" s="160" customFormat="1" x14ac:dyDescent="0.2">
      <c r="B8" s="161"/>
      <c r="C8" s="161"/>
      <c r="E8" s="162" t="s">
        <v>232</v>
      </c>
      <c r="F8" s="163" t="str">
        <f xml:space="preserve"> Inputs!$F$1</f>
        <v>2023-24</v>
      </c>
      <c r="G8" s="162"/>
      <c r="H8" s="162"/>
      <c r="I8" s="162"/>
      <c r="L8" s="162"/>
      <c r="M8" s="162"/>
      <c r="N8" s="162"/>
      <c r="O8" s="162"/>
      <c r="P8" s="162"/>
      <c r="Q8" s="162"/>
      <c r="R8" s="162"/>
      <c r="S8" s="162"/>
    </row>
    <row r="9" spans="1:19" s="160" customFormat="1" x14ac:dyDescent="0.2">
      <c r="B9" s="161"/>
      <c r="C9" s="161"/>
      <c r="E9" s="162" t="s">
        <v>233</v>
      </c>
      <c r="F9" s="164">
        <f xml:space="preserve"> _xlfn.NUMBERVALUE(20 &amp; RIGHT($F$8,2))</f>
        <v>2024</v>
      </c>
      <c r="G9" s="162" t="s">
        <v>178</v>
      </c>
      <c r="H9" s="162"/>
      <c r="I9" s="162"/>
    </row>
    <row r="10" spans="1:19" s="155" customFormat="1" x14ac:dyDescent="0.2">
      <c r="B10" s="156"/>
      <c r="C10" s="157"/>
      <c r="D10" s="158"/>
      <c r="E10" s="159"/>
      <c r="I10" s="159"/>
      <c r="J10" s="159"/>
      <c r="K10" s="159"/>
      <c r="L10" s="159"/>
      <c r="M10" s="159"/>
      <c r="N10" s="159"/>
      <c r="O10" s="159"/>
      <c r="P10" s="159"/>
      <c r="Q10" s="159"/>
      <c r="R10" s="159"/>
      <c r="S10" s="159"/>
    </row>
    <row r="11" spans="1:19" s="2" customFormat="1" ht="13.5" x14ac:dyDescent="0.25">
      <c r="A11" s="2" t="s">
        <v>234</v>
      </c>
    </row>
    <row r="12" spans="1:19" s="169" customFormat="1" x14ac:dyDescent="0.2">
      <c r="A12" s="165"/>
      <c r="B12" s="166"/>
      <c r="C12" s="167"/>
      <c r="D12" s="168"/>
      <c r="H12" s="170"/>
    </row>
    <row r="13" spans="1:19" s="171" customFormat="1" x14ac:dyDescent="0.2">
      <c r="A13" s="169"/>
      <c r="B13" s="189"/>
      <c r="C13" s="189"/>
      <c r="D13" s="169"/>
      <c r="E13" s="190" t="s">
        <v>235</v>
      </c>
      <c r="F13" s="191"/>
      <c r="G13" s="190" t="s">
        <v>35</v>
      </c>
      <c r="H13" s="190"/>
      <c r="I13" s="190"/>
      <c r="J13" s="192">
        <v>100.3</v>
      </c>
      <c r="K13" s="192">
        <v>101.8</v>
      </c>
      <c r="L13" s="192">
        <v>104.7</v>
      </c>
      <c r="M13" s="192">
        <v>106.9</v>
      </c>
      <c r="N13" s="192">
        <v>108.5</v>
      </c>
      <c r="O13" s="192">
        <v>109.1</v>
      </c>
      <c r="P13" s="192">
        <v>114.1</v>
      </c>
      <c r="Q13" s="192">
        <v>124.8</v>
      </c>
      <c r="R13" s="192">
        <v>130</v>
      </c>
      <c r="S13" s="193"/>
    </row>
    <row r="14" spans="1:19" s="160" customFormat="1" x14ac:dyDescent="0.2">
      <c r="B14" s="161"/>
      <c r="C14" s="161"/>
      <c r="E14" s="162"/>
      <c r="F14" s="172"/>
      <c r="G14" s="162"/>
      <c r="H14" s="162"/>
      <c r="I14" s="162"/>
      <c r="L14" s="162"/>
      <c r="M14" s="162"/>
      <c r="N14" s="162"/>
      <c r="O14" s="162"/>
      <c r="P14" s="162"/>
      <c r="Q14" s="162"/>
      <c r="R14" s="162"/>
      <c r="S14" s="162"/>
    </row>
    <row r="15" spans="1:19" s="160" customFormat="1" x14ac:dyDescent="0.2">
      <c r="B15" s="161" t="s">
        <v>236</v>
      </c>
      <c r="C15" s="161"/>
      <c r="E15" s="162"/>
      <c r="F15" s="172"/>
      <c r="G15" s="162"/>
      <c r="H15" s="162"/>
      <c r="I15" s="162"/>
      <c r="L15" s="162"/>
      <c r="M15" s="162"/>
      <c r="N15" s="162"/>
      <c r="O15" s="162"/>
      <c r="P15" s="162"/>
      <c r="Q15" s="162"/>
      <c r="R15" s="162"/>
      <c r="S15" s="162"/>
    </row>
    <row r="16" spans="1:19" s="160" customFormat="1" x14ac:dyDescent="0.2">
      <c r="B16" s="161"/>
      <c r="C16" s="161"/>
      <c r="E16" s="162" t="s">
        <v>237</v>
      </c>
      <c r="F16" s="172">
        <f xml:space="preserve"> $K$13</f>
        <v>101.8</v>
      </c>
      <c r="G16" s="162" t="s">
        <v>35</v>
      </c>
      <c r="H16" s="162"/>
      <c r="I16" s="162"/>
      <c r="L16" s="162"/>
      <c r="M16" s="162"/>
      <c r="N16" s="162"/>
      <c r="O16" s="162"/>
      <c r="P16" s="162"/>
      <c r="Q16" s="162"/>
      <c r="R16" s="162"/>
      <c r="S16" s="162"/>
    </row>
    <row r="17" spans="1:19" s="160" customFormat="1" x14ac:dyDescent="0.2">
      <c r="B17" s="161"/>
      <c r="C17" s="161"/>
      <c r="E17" s="162" t="s">
        <v>238</v>
      </c>
      <c r="F17" s="172"/>
      <c r="G17" s="162" t="s">
        <v>224</v>
      </c>
      <c r="H17" s="162"/>
      <c r="I17" s="162"/>
      <c r="J17" s="173">
        <f>IF(J$5&gt;2, 1,0)</f>
        <v>0</v>
      </c>
      <c r="K17" s="173">
        <f t="shared" ref="K17:S17" si="0">IF(K$5&gt;2, 1,0)</f>
        <v>0</v>
      </c>
      <c r="L17" s="173">
        <f t="shared" si="0"/>
        <v>1</v>
      </c>
      <c r="M17" s="173">
        <f t="shared" si="0"/>
        <v>1</v>
      </c>
      <c r="N17" s="173">
        <f t="shared" si="0"/>
        <v>1</v>
      </c>
      <c r="O17" s="173">
        <f t="shared" si="0"/>
        <v>1</v>
      </c>
      <c r="P17" s="173">
        <f t="shared" si="0"/>
        <v>1</v>
      </c>
      <c r="Q17" s="173">
        <f t="shared" si="0"/>
        <v>1</v>
      </c>
      <c r="R17" s="173">
        <f t="shared" si="0"/>
        <v>1</v>
      </c>
      <c r="S17" s="173">
        <f t="shared" si="0"/>
        <v>1</v>
      </c>
    </row>
    <row r="18" spans="1:19" s="194" customFormat="1" x14ac:dyDescent="0.2">
      <c r="A18" s="160"/>
      <c r="B18" s="161"/>
      <c r="C18" s="161"/>
      <c r="D18" s="160"/>
      <c r="E18" s="162" t="s">
        <v>239</v>
      </c>
      <c r="F18" s="172"/>
      <c r="G18" s="162" t="s">
        <v>35</v>
      </c>
      <c r="H18" s="162"/>
      <c r="I18" s="162"/>
      <c r="J18" s="194">
        <f t="shared" ref="J18:S18" si="1">IF(J$17=0,0,I$13)</f>
        <v>0</v>
      </c>
      <c r="K18" s="194">
        <f t="shared" si="1"/>
        <v>0</v>
      </c>
      <c r="L18" s="194">
        <f t="shared" si="1"/>
        <v>101.8</v>
      </c>
      <c r="M18" s="194">
        <f t="shared" si="1"/>
        <v>104.7</v>
      </c>
      <c r="N18" s="194">
        <f t="shared" si="1"/>
        <v>106.9</v>
      </c>
      <c r="O18" s="194">
        <f t="shared" si="1"/>
        <v>108.5</v>
      </c>
      <c r="P18" s="194">
        <f t="shared" si="1"/>
        <v>109.1</v>
      </c>
      <c r="Q18" s="194">
        <f t="shared" si="1"/>
        <v>114.1</v>
      </c>
      <c r="R18" s="194">
        <f t="shared" si="1"/>
        <v>124.8</v>
      </c>
      <c r="S18" s="194">
        <f t="shared" si="1"/>
        <v>130</v>
      </c>
    </row>
    <row r="19" spans="1:19" s="160" customFormat="1" x14ac:dyDescent="0.2">
      <c r="B19" s="161"/>
      <c r="C19" s="161"/>
      <c r="E19" s="162" t="s">
        <v>240</v>
      </c>
      <c r="F19" s="172"/>
      <c r="G19" s="162" t="s">
        <v>241</v>
      </c>
      <c r="H19" s="162"/>
      <c r="I19" s="162"/>
      <c r="J19" s="174">
        <f t="shared" ref="J19:S19" si="2" xml:space="preserve"> (J18 / $F$16) * J17</f>
        <v>0</v>
      </c>
      <c r="K19" s="174">
        <f t="shared" si="2"/>
        <v>0</v>
      </c>
      <c r="L19" s="174">
        <f t="shared" si="2"/>
        <v>1</v>
      </c>
      <c r="M19" s="174">
        <f t="shared" si="2"/>
        <v>1.0284872298624754</v>
      </c>
      <c r="N19" s="174">
        <f t="shared" si="2"/>
        <v>1.0500982318271121</v>
      </c>
      <c r="O19" s="174">
        <f t="shared" si="2"/>
        <v>1.0658153241650294</v>
      </c>
      <c r="P19" s="174">
        <f t="shared" si="2"/>
        <v>1.0717092337917484</v>
      </c>
      <c r="Q19" s="174">
        <f t="shared" si="2"/>
        <v>1.1208251473477406</v>
      </c>
      <c r="R19" s="174">
        <f t="shared" si="2"/>
        <v>1.2259332023575638</v>
      </c>
      <c r="S19" s="174">
        <f t="shared" si="2"/>
        <v>1.2770137524557956</v>
      </c>
    </row>
    <row r="20" spans="1:19" s="160" customFormat="1" x14ac:dyDescent="0.2">
      <c r="B20" s="161"/>
      <c r="C20" s="161"/>
      <c r="E20" s="162"/>
      <c r="F20" s="172"/>
      <c r="G20" s="162"/>
      <c r="H20" s="162"/>
      <c r="I20" s="162"/>
      <c r="J20" s="174"/>
      <c r="K20" s="174"/>
      <c r="L20" s="174"/>
      <c r="M20" s="174"/>
      <c r="N20" s="174"/>
      <c r="O20" s="174"/>
      <c r="P20" s="174"/>
      <c r="Q20" s="174"/>
      <c r="R20" s="174"/>
      <c r="S20" s="174"/>
    </row>
    <row r="21" spans="1:19" s="160" customFormat="1" x14ac:dyDescent="0.2">
      <c r="B21" s="161"/>
      <c r="C21" s="161"/>
      <c r="E21" s="162" t="str">
        <f>E$19</f>
        <v>CPIH: Nov - Nov index (prior year) inflating from 2017-18</v>
      </c>
      <c r="F21" s="172"/>
      <c r="G21" s="162" t="str">
        <f>G$19</f>
        <v>Factor</v>
      </c>
      <c r="H21" s="162"/>
      <c r="I21" s="162"/>
      <c r="J21" s="174">
        <f t="shared" ref="J21:S21" si="3">J$19</f>
        <v>0</v>
      </c>
      <c r="K21" s="174">
        <f t="shared" si="3"/>
        <v>0</v>
      </c>
      <c r="L21" s="174">
        <f t="shared" si="3"/>
        <v>1</v>
      </c>
      <c r="M21" s="174">
        <f t="shared" si="3"/>
        <v>1.0284872298624754</v>
      </c>
      <c r="N21" s="174">
        <f t="shared" si="3"/>
        <v>1.0500982318271121</v>
      </c>
      <c r="O21" s="174">
        <f t="shared" si="3"/>
        <v>1.0658153241650294</v>
      </c>
      <c r="P21" s="174">
        <f t="shared" si="3"/>
        <v>1.0717092337917484</v>
      </c>
      <c r="Q21" s="174">
        <f t="shared" si="3"/>
        <v>1.1208251473477406</v>
      </c>
      <c r="R21" s="174">
        <f t="shared" si="3"/>
        <v>1.2259332023575638</v>
      </c>
      <c r="S21" s="174">
        <f t="shared" si="3"/>
        <v>1.2770137524557956</v>
      </c>
    </row>
    <row r="22" spans="1:19" s="160" customFormat="1" x14ac:dyDescent="0.2">
      <c r="B22" s="161"/>
      <c r="C22" s="161"/>
      <c r="E22" s="162" t="str">
        <f xml:space="preserve"> E$9</f>
        <v>Report year financial year ending</v>
      </c>
      <c r="F22" s="164">
        <f t="shared" ref="F22:G22" si="4" xml:space="preserve"> F$9</f>
        <v>2024</v>
      </c>
      <c r="G22" s="162" t="str">
        <f t="shared" si="4"/>
        <v>Number</v>
      </c>
      <c r="H22" s="162"/>
      <c r="I22" s="162"/>
    </row>
    <row r="23" spans="1:19" s="175" customFormat="1" x14ac:dyDescent="0.2">
      <c r="B23" s="176"/>
      <c r="C23" s="176"/>
      <c r="E23" s="177" t="str">
        <f xml:space="preserve"> "Adjust from 2017-18 to report year (year ending " &amp; $F$22 &amp; ")"</f>
        <v>Adjust from 2017-18 to report year (year ending 2024)</v>
      </c>
      <c r="F23" s="178">
        <f xml:space="preserve"> INDEX(J21:S21, MATCH(F22,$J$4:$S$4))</f>
        <v>1.2259332023575638</v>
      </c>
      <c r="G23" s="177" t="s">
        <v>241</v>
      </c>
      <c r="H23" s="177"/>
      <c r="I23" s="177"/>
      <c r="J23" s="179"/>
      <c r="K23" s="179"/>
      <c r="L23" s="179"/>
      <c r="M23" s="179"/>
      <c r="N23" s="179"/>
      <c r="O23" s="179"/>
      <c r="P23" s="179"/>
      <c r="Q23" s="179"/>
      <c r="R23" s="179"/>
      <c r="S23" s="179"/>
    </row>
    <row r="24" spans="1:19" s="160" customFormat="1" x14ac:dyDescent="0.2">
      <c r="B24" s="161"/>
      <c r="C24" s="161"/>
    </row>
    <row r="25" spans="1:19" s="3" customFormat="1" ht="13.5" x14ac:dyDescent="0.25">
      <c r="A25" s="3" t="s">
        <v>242</v>
      </c>
    </row>
    <row r="26" spans="1:19" ht="12.75" customHeight="1" x14ac:dyDescent="0.2"/>
    <row r="27" spans="1:19" ht="12.75" customHeight="1" x14ac:dyDescent="0.2"/>
    <row r="28" spans="1:19" ht="12.75" customHeight="1" x14ac:dyDescent="0.2"/>
    <row r="29" spans="1:19" ht="12.75" customHeight="1" x14ac:dyDescent="0.2"/>
    <row r="30" spans="1:19" ht="12.75" customHeight="1" x14ac:dyDescent="0.2"/>
    <row r="31" spans="1:19" ht="12.75" customHeight="1" x14ac:dyDescent="0.2"/>
    <row r="32" spans="1:19"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conditionalFormatting sqref="J3:S3">
    <cfRule type="cellIs" dxfId="2" priority="1" operator="equal">
      <formula>"Post-Fcst"</formula>
    </cfRule>
    <cfRule type="cellIs" dxfId="1" priority="2" operator="equal">
      <formula>"Forecast"</formula>
    </cfRule>
    <cfRule type="cellIs" dxfId="0" priority="3" operator="equal">
      <formula>"Pre Fcst"</formula>
    </cfRule>
  </conditionalFormatting>
  <pageMargins left="0.70866141732283472" right="0.70866141732283472" top="0.74803149606299213" bottom="0.74803149606299213" header="0.31496062992125984" footer="0.31496062992125984"/>
  <pageSetup paperSize="8" scale="86" fitToHeight="0" orientation="landscape" r:id="rId1"/>
  <headerFooter>
    <oddHeader>&amp;L&amp;F&amp;CSheet: &amp;A&amp;ROFFICIAL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3" ma:contentTypeDescription="Create a new document." ma:contentTypeScope="" ma:versionID="b51955f97c6b3ad64a0833e6f2d332df">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006d2c111d91b55fc432c3d8d736f2e7"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SharedWithUsers xmlns="05c3d349-d7b5-4b99-a759-edf8a89fca83">
      <UserInfo>
        <DisplayName/>
        <AccountId xsi:nil="true"/>
        <AccountType/>
      </UserInfo>
    </SharedWithUsers>
  </documentManagement>
</p:properties>
</file>

<file path=customXml/itemProps1.xml><?xml version="1.0" encoding="utf-8"?>
<ds:datastoreItem xmlns:ds="http://schemas.openxmlformats.org/officeDocument/2006/customXml" ds:itemID="{784EC33E-8533-4E06-9434-B0F635FF5284}">
  <ds:schemaRefs>
    <ds:schemaRef ds:uri="http://schemas.microsoft.com/sharepoint/v3/contenttype/forms"/>
  </ds:schemaRefs>
</ds:datastoreItem>
</file>

<file path=customXml/itemProps2.xml><?xml version="1.0" encoding="utf-8"?>
<ds:datastoreItem xmlns:ds="http://schemas.openxmlformats.org/officeDocument/2006/customXml" ds:itemID="{43D2A50D-C20F-41A3-8FAE-8717E16AF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6DBC70-57CC-4CE1-B288-999CE1E40D7B}">
  <ds:schemaRefs>
    <ds:schemaRef ds:uri="http://schemas.microsoft.com/sharepoint/v3"/>
    <ds:schemaRef ds:uri="http://purl.org/dc/dcmitype/"/>
    <ds:schemaRef ds:uri="05c3d349-d7b5-4b99-a759-edf8a89fca83"/>
    <ds:schemaRef ds:uri="2e9523b9-9c37-4c05-b1eb-7b6f416249bb"/>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75e05205-f2e1-4168-9176-3cea1311c63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Cover</vt:lpstr>
      <vt:lpstr>ToC</vt:lpstr>
      <vt:lpstr>Model formatting</vt:lpstr>
      <vt:lpstr>Validation</vt:lpstr>
      <vt:lpstr>F_Inputs</vt:lpstr>
      <vt:lpstr>InpOverride</vt:lpstr>
      <vt:lpstr>InpActive</vt:lpstr>
      <vt:lpstr>Inputs</vt:lpstr>
      <vt:lpstr>Index</vt:lpstr>
      <vt:lpstr>Payment rates</vt:lpstr>
      <vt:lpstr>Performance payments</vt:lpstr>
      <vt:lpstr>Outputs</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2024-12-10T17:35:25Z</dcterms:created>
  <dcterms:modified xsi:type="dcterms:W3CDTF">2025-07-16T12:09:59Z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0x01010056CA1FEDC0F04146B2629EDF721CF670</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