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filterPrivacy="1" showInkAnnotation="0"/>
  <xr:revisionPtr revIDLastSave="0" documentId="8_{820937CC-723C-44BB-91B9-8BCF138D54B6}" xr6:coauthVersionLast="47" xr6:coauthVersionMax="47" xr10:uidLastSave="{00000000-0000-0000-0000-000000000000}"/>
  <bookViews>
    <workbookView xWindow="-120" yWindow="-120" windowWidth="29040" windowHeight="15720" tabRatio="836" xr2:uid="{00000000-000D-0000-FFFF-FFFF00000000}"/>
  </bookViews>
  <sheets>
    <sheet name="Cover" sheetId="32" r:id="rId1"/>
    <sheet name="ToC" sheetId="33" r:id="rId2"/>
    <sheet name="Model formatting" sheetId="34" r:id="rId3"/>
    <sheet name="Validation" sheetId="21" r:id="rId4"/>
    <sheet name="F_Inputs" sheetId="47" r:id="rId5"/>
    <sheet name="InpOverride" sheetId="37" r:id="rId6"/>
    <sheet name="InpActive" sheetId="36" r:id="rId7"/>
    <sheet name="Inputs" sheetId="22" r:id="rId8"/>
    <sheet name="Index" sheetId="44" r:id="rId9"/>
    <sheet name="Payment rates" sheetId="23" r:id="rId10"/>
    <sheet name="Performance payments" sheetId="24" r:id="rId11"/>
    <sheet name="Outputs" sheetId="25" r:id="rId12"/>
    <sheet name="F_Outputs" sheetId="38" r:id="rId13"/>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ew" hidden="1">{"bal",#N/A,FALSE,"working papers";"income",#N/A,FALSE,"working papers"}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5" l="1"/>
  <c r="F105" i="38"/>
  <c r="F103" i="38"/>
  <c r="F102" i="38"/>
  <c r="F99" i="38"/>
  <c r="F97" i="38"/>
  <c r="F96" i="38"/>
  <c r="F93" i="38"/>
  <c r="F91" i="38"/>
  <c r="F90" i="38"/>
  <c r="F87" i="38"/>
  <c r="F85" i="38"/>
  <c r="F84" i="38"/>
  <c r="F81" i="38"/>
  <c r="F79" i="38"/>
  <c r="F78" i="38"/>
  <c r="F75" i="38"/>
  <c r="F73" i="38"/>
  <c r="F72" i="38"/>
  <c r="F69" i="38"/>
  <c r="F67" i="38"/>
  <c r="F66" i="38"/>
  <c r="F63" i="38"/>
  <c r="F61" i="38"/>
  <c r="F60" i="38"/>
  <c r="F57" i="38"/>
  <c r="F55" i="38"/>
  <c r="F54" i="38"/>
  <c r="F51" i="38"/>
  <c r="F49" i="38"/>
  <c r="F48" i="38"/>
  <c r="F45" i="38"/>
  <c r="F43" i="38"/>
  <c r="F42" i="38"/>
  <c r="F39" i="38"/>
  <c r="F37" i="38"/>
  <c r="F36" i="38"/>
  <c r="F33" i="38"/>
  <c r="F31" i="38"/>
  <c r="F30" i="38"/>
  <c r="F27" i="38"/>
  <c r="F25" i="38"/>
  <c r="F24" i="38"/>
  <c r="F21" i="38"/>
  <c r="F19" i="38"/>
  <c r="F18" i="38"/>
  <c r="F15" i="38"/>
  <c r="F13" i="38"/>
  <c r="F12" i="38"/>
  <c r="F9" i="38"/>
  <c r="F7" i="38"/>
  <c r="F6" i="38"/>
  <c r="G41" i="25"/>
  <c r="G40" i="25"/>
  <c r="G39" i="25"/>
  <c r="G38" i="25"/>
  <c r="G37" i="25"/>
  <c r="G36" i="25"/>
  <c r="G35" i="25"/>
  <c r="G34" i="25"/>
  <c r="G33" i="25"/>
  <c r="G32" i="25"/>
  <c r="G31" i="25"/>
  <c r="G30" i="25"/>
  <c r="G29" i="25"/>
  <c r="G28" i="25"/>
  <c r="G27" i="25"/>
  <c r="G26" i="25"/>
  <c r="G25" i="25"/>
  <c r="G22" i="25"/>
  <c r="G21" i="25"/>
  <c r="G20" i="25"/>
  <c r="G19" i="25"/>
  <c r="G18" i="25"/>
  <c r="G17" i="25"/>
  <c r="G16" i="25"/>
  <c r="G15" i="25"/>
  <c r="G14" i="25"/>
  <c r="G13" i="25"/>
  <c r="G12" i="25"/>
  <c r="G11" i="25"/>
  <c r="G10" i="25"/>
  <c r="G9" i="25"/>
  <c r="G8" i="25"/>
  <c r="G7" i="25"/>
  <c r="G6" i="25"/>
  <c r="A1" i="25"/>
  <c r="E65" i="24"/>
  <c r="E41" i="25" s="1"/>
  <c r="E64" i="24"/>
  <c r="E40" i="25" s="1"/>
  <c r="E63" i="24"/>
  <c r="E62" i="24"/>
  <c r="E38" i="25" s="1"/>
  <c r="E61" i="24"/>
  <c r="E37" i="25" s="1"/>
  <c r="E60" i="24"/>
  <c r="E59" i="24"/>
  <c r="E35" i="25" s="1"/>
  <c r="E58" i="24"/>
  <c r="E57" i="24"/>
  <c r="E33" i="25" s="1"/>
  <c r="E56" i="24"/>
  <c r="E32" i="25" s="1"/>
  <c r="E55" i="24"/>
  <c r="E31" i="25" s="1"/>
  <c r="E54" i="24"/>
  <c r="E30" i="25" s="1"/>
  <c r="E53" i="24"/>
  <c r="E52" i="24"/>
  <c r="E51" i="24"/>
  <c r="E27" i="25" s="1"/>
  <c r="E50" i="24"/>
  <c r="E26" i="25" s="1"/>
  <c r="E49" i="24"/>
  <c r="E25" i="25" s="1"/>
  <c r="E46" i="24"/>
  <c r="E22" i="25" s="1"/>
  <c r="E45" i="24"/>
  <c r="E21" i="25" s="1"/>
  <c r="E44" i="24"/>
  <c r="E20" i="25" s="1"/>
  <c r="E43" i="24"/>
  <c r="E42" i="24"/>
  <c r="E18" i="25" s="1"/>
  <c r="E41" i="24"/>
  <c r="E40" i="24"/>
  <c r="E16" i="25" s="1"/>
  <c r="E39" i="24"/>
  <c r="E15" i="25" s="1"/>
  <c r="E38" i="24"/>
  <c r="E14" i="25" s="1"/>
  <c r="E37" i="24"/>
  <c r="E13" i="25" s="1"/>
  <c r="E36" i="24"/>
  <c r="E12" i="25" s="1"/>
  <c r="E35" i="24"/>
  <c r="E11" i="25" s="1"/>
  <c r="E34" i="24"/>
  <c r="E10" i="25" s="1"/>
  <c r="E33" i="24"/>
  <c r="E32" i="24"/>
  <c r="E31" i="24"/>
  <c r="E30" i="24"/>
  <c r="E6" i="25" s="1"/>
  <c r="G24" i="24"/>
  <c r="E24" i="24"/>
  <c r="G23" i="24"/>
  <c r="E23" i="24"/>
  <c r="G19" i="24"/>
  <c r="G18" i="24"/>
  <c r="E18" i="24"/>
  <c r="G17" i="24"/>
  <c r="E17" i="24"/>
  <c r="G13" i="24"/>
  <c r="E13" i="24"/>
  <c r="G12" i="24"/>
  <c r="E12" i="24"/>
  <c r="G9" i="24"/>
  <c r="E9" i="24"/>
  <c r="G8" i="24"/>
  <c r="E8" i="24"/>
  <c r="G6" i="24"/>
  <c r="E6" i="24"/>
  <c r="G5" i="24"/>
  <c r="E5" i="24"/>
  <c r="A1" i="24"/>
  <c r="G65" i="23"/>
  <c r="E65" i="23"/>
  <c r="G64" i="23"/>
  <c r="E64" i="23"/>
  <c r="G63" i="23"/>
  <c r="E63" i="23"/>
  <c r="G59" i="23"/>
  <c r="E59" i="23"/>
  <c r="G55" i="23"/>
  <c r="E55" i="23"/>
  <c r="G54" i="23"/>
  <c r="E54" i="23"/>
  <c r="G51" i="23"/>
  <c r="E51" i="23"/>
  <c r="G50" i="23"/>
  <c r="F50" i="23"/>
  <c r="E50" i="23"/>
  <c r="G47" i="23"/>
  <c r="E47" i="23"/>
  <c r="G46" i="23"/>
  <c r="E46" i="23"/>
  <c r="G43" i="23"/>
  <c r="E43" i="23"/>
  <c r="G39" i="23"/>
  <c r="E39" i="23"/>
  <c r="G38" i="23"/>
  <c r="E38" i="23"/>
  <c r="G35" i="23"/>
  <c r="E35" i="23"/>
  <c r="G34" i="23"/>
  <c r="F34" i="23"/>
  <c r="E34" i="23"/>
  <c r="G31" i="23"/>
  <c r="E31" i="23"/>
  <c r="G30" i="23"/>
  <c r="E30" i="23"/>
  <c r="G27" i="23"/>
  <c r="E27" i="23"/>
  <c r="G22" i="23"/>
  <c r="E22" i="23"/>
  <c r="G21" i="23"/>
  <c r="E21" i="23"/>
  <c r="G15" i="23"/>
  <c r="E15" i="23"/>
  <c r="G9" i="23"/>
  <c r="F9" i="23"/>
  <c r="E9" i="23"/>
  <c r="G8" i="23"/>
  <c r="F8" i="23"/>
  <c r="E8" i="23"/>
  <c r="G7" i="23"/>
  <c r="E7" i="23"/>
  <c r="G6" i="23"/>
  <c r="E6" i="23"/>
  <c r="G5" i="23"/>
  <c r="E5" i="23"/>
  <c r="A1" i="23"/>
  <c r="G22" i="44"/>
  <c r="E22" i="44"/>
  <c r="G21" i="44"/>
  <c r="E21" i="44"/>
  <c r="S17" i="44"/>
  <c r="S18" i="44" s="1"/>
  <c r="R17" i="44"/>
  <c r="R18" i="44" s="1"/>
  <c r="Q17" i="44"/>
  <c r="Q18" i="44" s="1"/>
  <c r="P17" i="44"/>
  <c r="P18" i="44" s="1"/>
  <c r="O17" i="44"/>
  <c r="O18" i="44" s="1"/>
  <c r="N17" i="44"/>
  <c r="N18" i="44" s="1"/>
  <c r="M17" i="44"/>
  <c r="M18" i="44" s="1"/>
  <c r="L17" i="44"/>
  <c r="L18" i="44" s="1"/>
  <c r="K17" i="44"/>
  <c r="K18" i="44" s="1"/>
  <c r="J17" i="44"/>
  <c r="J18" i="44" s="1"/>
  <c r="F16" i="44"/>
  <c r="A1" i="44"/>
  <c r="Z89" i="22"/>
  <c r="Z5" i="23" s="1"/>
  <c r="Y89" i="22"/>
  <c r="Y5" i="23" s="1"/>
  <c r="X89" i="22"/>
  <c r="X5" i="24" s="1"/>
  <c r="W89" i="22"/>
  <c r="V89" i="22"/>
  <c r="U89" i="22"/>
  <c r="T89" i="22"/>
  <c r="S89" i="22"/>
  <c r="S5" i="24" s="1"/>
  <c r="R89" i="22"/>
  <c r="Q89" i="22"/>
  <c r="Q5" i="23" s="1"/>
  <c r="P89" i="22"/>
  <c r="P5" i="24" s="1"/>
  <c r="O89" i="22"/>
  <c r="N89" i="22"/>
  <c r="N5" i="23" s="1"/>
  <c r="M89" i="22"/>
  <c r="M5" i="23" s="1"/>
  <c r="L89" i="22"/>
  <c r="L5" i="24" s="1"/>
  <c r="K89" i="22"/>
  <c r="J89" i="22"/>
  <c r="F1" i="22"/>
  <c r="F1" i="44" s="1"/>
  <c r="A1" i="22"/>
  <c r="F91" i="36"/>
  <c r="F85" i="22" s="1"/>
  <c r="F90" i="36"/>
  <c r="F65" i="22" s="1"/>
  <c r="F89" i="36"/>
  <c r="F88" i="36"/>
  <c r="F43" i="22" s="1"/>
  <c r="F87" i="36"/>
  <c r="F23" i="22" s="1"/>
  <c r="F86" i="36"/>
  <c r="F84" i="22" s="1"/>
  <c r="F85" i="36"/>
  <c r="F64" i="22" s="1"/>
  <c r="F84" i="36"/>
  <c r="F83" i="36"/>
  <c r="F42" i="22" s="1"/>
  <c r="F82" i="36"/>
  <c r="F22" i="22" s="1"/>
  <c r="F81" i="36"/>
  <c r="F83" i="22" s="1"/>
  <c r="X93" i="22" s="1"/>
  <c r="X12" i="24" s="1"/>
  <c r="F80" i="36"/>
  <c r="F63" i="22" s="1"/>
  <c r="F79" i="36"/>
  <c r="F78" i="36"/>
  <c r="F41" i="22" s="1"/>
  <c r="F77" i="36"/>
  <c r="F21" i="22" s="1"/>
  <c r="F76" i="36"/>
  <c r="F82" i="22" s="1"/>
  <c r="F75" i="36"/>
  <c r="F62" i="22" s="1"/>
  <c r="F74" i="36"/>
  <c r="F73" i="36"/>
  <c r="F40" i="22" s="1"/>
  <c r="F72" i="36"/>
  <c r="F20" i="22" s="1"/>
  <c r="F71" i="36"/>
  <c r="F81" i="22" s="1"/>
  <c r="F70" i="36"/>
  <c r="F61" i="22" s="1"/>
  <c r="F69" i="36"/>
  <c r="F68" i="36"/>
  <c r="F39" i="22" s="1"/>
  <c r="F67" i="36"/>
  <c r="F19" i="22" s="1"/>
  <c r="F66" i="36"/>
  <c r="F80" i="22" s="1"/>
  <c r="F65" i="36"/>
  <c r="F60" i="22" s="1"/>
  <c r="F64" i="36"/>
  <c r="F63" i="36"/>
  <c r="F38" i="22" s="1"/>
  <c r="F62" i="36"/>
  <c r="F18" i="22" s="1"/>
  <c r="F61" i="36"/>
  <c r="F79" i="22" s="1"/>
  <c r="F60" i="36"/>
  <c r="F59" i="22" s="1"/>
  <c r="F59" i="36"/>
  <c r="F58" i="36"/>
  <c r="F37" i="22" s="1"/>
  <c r="F57" i="36"/>
  <c r="F17" i="22" s="1"/>
  <c r="F56" i="36"/>
  <c r="F78" i="22" s="1"/>
  <c r="F55" i="36"/>
  <c r="F58" i="22" s="1"/>
  <c r="F54" i="36"/>
  <c r="F53" i="36"/>
  <c r="F36" i="22" s="1"/>
  <c r="F52" i="36"/>
  <c r="F16" i="22" s="1"/>
  <c r="F51" i="36"/>
  <c r="F77" i="22" s="1"/>
  <c r="F50" i="36"/>
  <c r="F57" i="22" s="1"/>
  <c r="F49" i="36"/>
  <c r="F48" i="36"/>
  <c r="F35" i="22" s="1"/>
  <c r="F47" i="36"/>
  <c r="F15" i="22" s="1"/>
  <c r="F46" i="36"/>
  <c r="F76" i="22" s="1"/>
  <c r="F45" i="36"/>
  <c r="F56" i="22" s="1"/>
  <c r="F44" i="36"/>
  <c r="F43" i="36"/>
  <c r="F34" i="22" s="1"/>
  <c r="F42" i="36"/>
  <c r="F14" i="22" s="1"/>
  <c r="F41" i="36"/>
  <c r="F75" i="22" s="1"/>
  <c r="F40" i="36"/>
  <c r="F55" i="22" s="1"/>
  <c r="F39" i="36"/>
  <c r="F38" i="36"/>
  <c r="F33" i="22" s="1"/>
  <c r="F37" i="36"/>
  <c r="F13" i="22" s="1"/>
  <c r="F36" i="36"/>
  <c r="F74" i="22" s="1"/>
  <c r="F35" i="36"/>
  <c r="F54" i="22" s="1"/>
  <c r="F34" i="36"/>
  <c r="F33" i="36"/>
  <c r="F32" i="22" s="1"/>
  <c r="F32" i="36"/>
  <c r="F12" i="22" s="1"/>
  <c r="F31" i="36"/>
  <c r="F73" i="22" s="1"/>
  <c r="F30" i="36"/>
  <c r="F53" i="22" s="1"/>
  <c r="F29" i="36"/>
  <c r="F28" i="36"/>
  <c r="F31" i="22" s="1"/>
  <c r="F27" i="36"/>
  <c r="F11" i="22" s="1"/>
  <c r="F26" i="36"/>
  <c r="F72" i="22" s="1"/>
  <c r="F25" i="36"/>
  <c r="F52" i="22" s="1"/>
  <c r="F24" i="36"/>
  <c r="F23" i="36"/>
  <c r="F30" i="22" s="1"/>
  <c r="F22" i="36"/>
  <c r="F10" i="22" s="1"/>
  <c r="F21" i="36"/>
  <c r="F71" i="22" s="1"/>
  <c r="F20" i="36"/>
  <c r="F51" i="22" s="1"/>
  <c r="F19" i="36"/>
  <c r="F18" i="36"/>
  <c r="F29" i="22" s="1"/>
  <c r="F17" i="36"/>
  <c r="F9" i="22" s="1"/>
  <c r="F16" i="36"/>
  <c r="F70" i="22" s="1"/>
  <c r="F15" i="36"/>
  <c r="F50" i="22" s="1"/>
  <c r="F14" i="36"/>
  <c r="F13" i="36"/>
  <c r="F28" i="22" s="1"/>
  <c r="F12" i="36"/>
  <c r="F8" i="22" s="1"/>
  <c r="F11" i="36"/>
  <c r="F69" i="22" s="1"/>
  <c r="F10" i="36"/>
  <c r="F49" i="22" s="1"/>
  <c r="F9" i="36"/>
  <c r="F8" i="36"/>
  <c r="F27" i="22" s="1"/>
  <c r="F7" i="36"/>
  <c r="F7" i="22" s="1"/>
  <c r="F2" i="36"/>
  <c r="F2" i="37"/>
  <c r="A1" i="21"/>
  <c r="A1" i="34"/>
  <c r="A1" i="33"/>
  <c r="A1" i="32"/>
  <c r="J19" i="44" l="1"/>
  <c r="J21" i="44" s="1"/>
  <c r="W92" i="22"/>
  <c r="W8" i="24" s="1"/>
  <c r="T92" i="22"/>
  <c r="T8" i="24" s="1"/>
  <c r="V92" i="22"/>
  <c r="V8" i="24" s="1"/>
  <c r="W90" i="22"/>
  <c r="W6" i="23" s="1"/>
  <c r="Q90" i="22"/>
  <c r="Q6" i="23" s="1"/>
  <c r="X5" i="23"/>
  <c r="Q5" i="24"/>
  <c r="V90" i="22"/>
  <c r="V6" i="23" s="1"/>
  <c r="L92" i="22"/>
  <c r="L8" i="24" s="1"/>
  <c r="L93" i="22"/>
  <c r="L12" i="24" s="1"/>
  <c r="F1" i="25"/>
  <c r="F2" i="38" s="1"/>
  <c r="F8" i="44"/>
  <c r="F9" i="44" s="1"/>
  <c r="F22" i="44" s="1"/>
  <c r="E23" i="44" s="1"/>
  <c r="E19" i="24" s="1"/>
  <c r="L5" i="23"/>
  <c r="L19" i="44"/>
  <c r="L21" i="44" s="1"/>
  <c r="L90" i="22"/>
  <c r="L6" i="23" s="1"/>
  <c r="X90" i="22"/>
  <c r="X6" i="23" s="1"/>
  <c r="N19" i="44"/>
  <c r="N21" i="44" s="1"/>
  <c r="L91" i="22"/>
  <c r="L7" i="23" s="1"/>
  <c r="X91" i="22"/>
  <c r="X7" i="23" s="1"/>
  <c r="O90" i="22"/>
  <c r="O6" i="23" s="1"/>
  <c r="M19" i="44"/>
  <c r="M21" i="44" s="1"/>
  <c r="O19" i="44"/>
  <c r="O21" i="44" s="1"/>
  <c r="U90" i="22"/>
  <c r="U6" i="23" s="1"/>
  <c r="P19" i="44"/>
  <c r="P21" i="44" s="1"/>
  <c r="X92" i="22"/>
  <c r="X8" i="24" s="1"/>
  <c r="P91" i="22"/>
  <c r="P7" i="23" s="1"/>
  <c r="F1" i="23"/>
  <c r="Z90" i="22"/>
  <c r="Z6" i="23" s="1"/>
  <c r="Z92" i="22"/>
  <c r="Z8" i="24" s="1"/>
  <c r="S91" i="22"/>
  <c r="S7" i="23" s="1"/>
  <c r="S93" i="22"/>
  <c r="S12" i="24" s="1"/>
  <c r="O91" i="22"/>
  <c r="O7" i="23" s="1"/>
  <c r="O10" i="23" s="1"/>
  <c r="S19" i="44"/>
  <c r="S21" i="44" s="1"/>
  <c r="N93" i="22"/>
  <c r="N12" i="24" s="1"/>
  <c r="Q93" i="22"/>
  <c r="Q12" i="24" s="1"/>
  <c r="O92" i="22"/>
  <c r="O8" i="24" s="1"/>
  <c r="Q91" i="22"/>
  <c r="Q7" i="23" s="1"/>
  <c r="O93" i="22"/>
  <c r="O12" i="24" s="1"/>
  <c r="F1" i="24"/>
  <c r="P90" i="22"/>
  <c r="P6" i="23" s="1"/>
  <c r="S92" i="22"/>
  <c r="S8" i="24" s="1"/>
  <c r="E17" i="25"/>
  <c r="R93" i="22"/>
  <c r="R12" i="24" s="1"/>
  <c r="R5" i="23"/>
  <c r="R90" i="22"/>
  <c r="R6" i="23" s="1"/>
  <c r="R91" i="22"/>
  <c r="R7" i="23" s="1"/>
  <c r="R5" i="24"/>
  <c r="J92" i="22"/>
  <c r="J8" i="24" s="1"/>
  <c r="J91" i="22"/>
  <c r="J7" i="23" s="1"/>
  <c r="J90" i="22"/>
  <c r="J6" i="23" s="1"/>
  <c r="J5" i="24"/>
  <c r="J5" i="23"/>
  <c r="J93" i="22"/>
  <c r="J12" i="24" s="1"/>
  <c r="V93" i="22"/>
  <c r="V12" i="24" s="1"/>
  <c r="V5" i="23"/>
  <c r="V91" i="22"/>
  <c r="V7" i="23" s="1"/>
  <c r="V10" i="23" s="1"/>
  <c r="R92" i="22"/>
  <c r="R8" i="24" s="1"/>
  <c r="V5" i="24"/>
  <c r="E36" i="25"/>
  <c r="E8" i="25"/>
  <c r="T91" i="22"/>
  <c r="T7" i="23" s="1"/>
  <c r="T5" i="23"/>
  <c r="T90" i="22"/>
  <c r="T6" i="23" s="1"/>
  <c r="T5" i="24"/>
  <c r="T93" i="22"/>
  <c r="T12" i="24" s="1"/>
  <c r="U92" i="22"/>
  <c r="U8" i="24" s="1"/>
  <c r="U91" i="22"/>
  <c r="U7" i="23" s="1"/>
  <c r="U5" i="23"/>
  <c r="U5" i="24"/>
  <c r="U93" i="22"/>
  <c r="U12" i="24" s="1"/>
  <c r="E34" i="25"/>
  <c r="Q19" i="44"/>
  <c r="Q21" i="44" s="1"/>
  <c r="R19" i="44"/>
  <c r="R21" i="44" s="1"/>
  <c r="K19" i="44"/>
  <c r="K21" i="44" s="1"/>
  <c r="K5" i="24"/>
  <c r="K90" i="22"/>
  <c r="K6" i="23" s="1"/>
  <c r="K91" i="22"/>
  <c r="K7" i="23" s="1"/>
  <c r="W93" i="22"/>
  <c r="W12" i="24" s="1"/>
  <c r="W5" i="24"/>
  <c r="E9" i="25"/>
  <c r="E29" i="25"/>
  <c r="E39" i="25"/>
  <c r="W91" i="22"/>
  <c r="W7" i="23" s="1"/>
  <c r="K92" i="22"/>
  <c r="K8" i="24" s="1"/>
  <c r="K93" i="22"/>
  <c r="K12" i="24" s="1"/>
  <c r="E19" i="25"/>
  <c r="K5" i="23"/>
  <c r="W5" i="23"/>
  <c r="S90" i="22"/>
  <c r="S6" i="23" s="1"/>
  <c r="S5" i="23"/>
  <c r="E28" i="25"/>
  <c r="M93" i="22"/>
  <c r="M12" i="24" s="1"/>
  <c r="M5" i="24"/>
  <c r="M90" i="22"/>
  <c r="M6" i="23" s="1"/>
  <c r="M92" i="22"/>
  <c r="M8" i="24" s="1"/>
  <c r="N91" i="22"/>
  <c r="N7" i="23" s="1"/>
  <c r="Z91" i="22"/>
  <c r="Z7" i="23" s="1"/>
  <c r="Z93" i="22"/>
  <c r="Z12" i="24" s="1"/>
  <c r="Z5" i="24"/>
  <c r="M91" i="22"/>
  <c r="M7" i="23" s="1"/>
  <c r="N92" i="22"/>
  <c r="N8" i="24" s="1"/>
  <c r="Y5" i="24"/>
  <c r="Y90" i="22"/>
  <c r="Y6" i="23" s="1"/>
  <c r="Y93" i="22"/>
  <c r="Y12" i="24" s="1"/>
  <c r="Y92" i="22"/>
  <c r="Y8" i="24" s="1"/>
  <c r="Y91" i="22"/>
  <c r="Y7" i="23" s="1"/>
  <c r="N90" i="22"/>
  <c r="N6" i="23" s="1"/>
  <c r="N5" i="24"/>
  <c r="O5" i="24"/>
  <c r="O5" i="23"/>
  <c r="E7" i="25"/>
  <c r="P93" i="22"/>
  <c r="P12" i="24" s="1"/>
  <c r="P92" i="22"/>
  <c r="P8" i="24" s="1"/>
  <c r="P5" i="23"/>
  <c r="Q92" i="22"/>
  <c r="Q8" i="24" s="1"/>
  <c r="W10" i="23" l="1"/>
  <c r="W21" i="23" s="1"/>
  <c r="Q10" i="23"/>
  <c r="X10" i="23"/>
  <c r="X15" i="23" s="1"/>
  <c r="J10" i="23"/>
  <c r="J6" i="24" s="1"/>
  <c r="Z10" i="23"/>
  <c r="Z15" i="23" s="1"/>
  <c r="F23" i="44"/>
  <c r="F19" i="24" s="1"/>
  <c r="Q6" i="24"/>
  <c r="Q15" i="23"/>
  <c r="Q21" i="23"/>
  <c r="Y10" i="23"/>
  <c r="Y21" i="23" s="1"/>
  <c r="P10" i="23"/>
  <c r="S10" i="23"/>
  <c r="S15" i="23" s="1"/>
  <c r="U10" i="23"/>
  <c r="U21" i="23" s="1"/>
  <c r="T10" i="23"/>
  <c r="T6" i="24" s="1"/>
  <c r="L10" i="23"/>
  <c r="O21" i="23"/>
  <c r="O15" i="23"/>
  <c r="O6" i="24"/>
  <c r="M10" i="23"/>
  <c r="M15" i="23" s="1"/>
  <c r="X6" i="24"/>
  <c r="N10" i="23"/>
  <c r="N15" i="23" s="1"/>
  <c r="W6" i="24"/>
  <c r="K10" i="23"/>
  <c r="R10" i="23"/>
  <c r="V21" i="23"/>
  <c r="V6" i="24"/>
  <c r="V15" i="23"/>
  <c r="M6" i="24" l="1"/>
  <c r="Z21" i="23"/>
  <c r="Z6" i="24"/>
  <c r="J15" i="23"/>
  <c r="W15" i="23"/>
  <c r="J21" i="23"/>
  <c r="Y6" i="24"/>
  <c r="X21" i="23"/>
  <c r="Y15" i="23"/>
  <c r="U15" i="23"/>
  <c r="S21" i="23"/>
  <c r="S6" i="24"/>
  <c r="N21" i="23"/>
  <c r="N6" i="24"/>
  <c r="L15" i="23"/>
  <c r="L21" i="23"/>
  <c r="L6" i="24"/>
  <c r="U6" i="24"/>
  <c r="P21" i="23"/>
  <c r="P15" i="23"/>
  <c r="P6" i="24"/>
  <c r="T15" i="23"/>
  <c r="T21" i="23"/>
  <c r="M21" i="23"/>
  <c r="R6" i="24"/>
  <c r="R15" i="23"/>
  <c r="R21" i="23"/>
  <c r="K21" i="23"/>
  <c r="K15" i="23"/>
  <c r="K6" i="24"/>
  <c r="F18" i="23" l="1"/>
  <c r="F30" i="23" s="1"/>
  <c r="F19" i="23"/>
  <c r="F46" i="23" s="1"/>
  <c r="F16" i="23"/>
  <c r="F17" i="23"/>
  <c r="F47" i="23" l="1"/>
  <c r="F48" i="23" s="1"/>
  <c r="F51" i="23" s="1"/>
  <c r="F52" i="23" s="1"/>
  <c r="F55" i="23" s="1"/>
  <c r="F22" i="23"/>
  <c r="F31" i="23"/>
  <c r="F32" i="23" s="1"/>
  <c r="F35" i="23" s="1"/>
  <c r="F36" i="23" s="1"/>
  <c r="F39" i="23" s="1"/>
  <c r="O23" i="23" l="1"/>
  <c r="X23" i="23"/>
  <c r="P23" i="23"/>
  <c r="Q23" i="23"/>
  <c r="L23" i="23"/>
  <c r="T23" i="23"/>
  <c r="M23" i="23"/>
  <c r="J23" i="23"/>
  <c r="Z23" i="23"/>
  <c r="S23" i="23"/>
  <c r="Y23" i="23"/>
  <c r="W23" i="23"/>
  <c r="U23" i="23"/>
  <c r="V23" i="23"/>
  <c r="N23" i="23"/>
  <c r="R23" i="23"/>
  <c r="K23" i="23"/>
  <c r="V43" i="23" l="1"/>
  <c r="V44" i="23" s="1"/>
  <c r="V54" i="23" s="1"/>
  <c r="V56" i="23" s="1"/>
  <c r="V64" i="23" s="1"/>
  <c r="V59" i="23"/>
  <c r="V60" i="23" s="1"/>
  <c r="V65" i="23" s="1"/>
  <c r="V27" i="23"/>
  <c r="V28" i="23" s="1"/>
  <c r="V38" i="23" s="1"/>
  <c r="V40" i="23" s="1"/>
  <c r="V63" i="23" s="1"/>
  <c r="X43" i="23"/>
  <c r="X44" i="23" s="1"/>
  <c r="X54" i="23" s="1"/>
  <c r="X56" i="23" s="1"/>
  <c r="X64" i="23" s="1"/>
  <c r="X27" i="23"/>
  <c r="X28" i="23" s="1"/>
  <c r="X38" i="23" s="1"/>
  <c r="X40" i="23" s="1"/>
  <c r="X63" i="23" s="1"/>
  <c r="X59" i="23"/>
  <c r="X60" i="23" s="1"/>
  <c r="X65" i="23" s="1"/>
  <c r="W59" i="23"/>
  <c r="W60" i="23" s="1"/>
  <c r="W65" i="23" s="1"/>
  <c r="W27" i="23"/>
  <c r="W28" i="23" s="1"/>
  <c r="W38" i="23" s="1"/>
  <c r="W40" i="23" s="1"/>
  <c r="W63" i="23" s="1"/>
  <c r="W43" i="23"/>
  <c r="W44" i="23" s="1"/>
  <c r="W54" i="23" s="1"/>
  <c r="W56" i="23" s="1"/>
  <c r="W64" i="23" s="1"/>
  <c r="Z27" i="23"/>
  <c r="Z28" i="23" s="1"/>
  <c r="Z38" i="23" s="1"/>
  <c r="Z40" i="23" s="1"/>
  <c r="Z63" i="23" s="1"/>
  <c r="Z59" i="23"/>
  <c r="Z60" i="23" s="1"/>
  <c r="Z65" i="23" s="1"/>
  <c r="Z43" i="23"/>
  <c r="Z44" i="23" s="1"/>
  <c r="Z54" i="23" s="1"/>
  <c r="Z56" i="23" s="1"/>
  <c r="Z64" i="23" s="1"/>
  <c r="M43" i="23"/>
  <c r="M44" i="23" s="1"/>
  <c r="M54" i="23" s="1"/>
  <c r="M56" i="23" s="1"/>
  <c r="M64" i="23" s="1"/>
  <c r="M59" i="23"/>
  <c r="M60" i="23" s="1"/>
  <c r="M65" i="23" s="1"/>
  <c r="M27" i="23"/>
  <c r="M28" i="23" s="1"/>
  <c r="M38" i="23" s="1"/>
  <c r="M40" i="23" s="1"/>
  <c r="M63" i="23" s="1"/>
  <c r="T59" i="23"/>
  <c r="T60" i="23" s="1"/>
  <c r="T65" i="23" s="1"/>
  <c r="T27" i="23"/>
  <c r="T28" i="23" s="1"/>
  <c r="T38" i="23" s="1"/>
  <c r="T40" i="23" s="1"/>
  <c r="T63" i="23" s="1"/>
  <c r="T43" i="23"/>
  <c r="T44" i="23" s="1"/>
  <c r="T54" i="23" s="1"/>
  <c r="T56" i="23" s="1"/>
  <c r="T64" i="23" s="1"/>
  <c r="Q27" i="23"/>
  <c r="Q28" i="23" s="1"/>
  <c r="Q38" i="23" s="1"/>
  <c r="Q40" i="23" s="1"/>
  <c r="Q63" i="23" s="1"/>
  <c r="Q43" i="23"/>
  <c r="Q44" i="23" s="1"/>
  <c r="Q54" i="23" s="1"/>
  <c r="Q56" i="23" s="1"/>
  <c r="Q64" i="23" s="1"/>
  <c r="Q59" i="23"/>
  <c r="Q60" i="23" s="1"/>
  <c r="Q65" i="23" s="1"/>
  <c r="U27" i="23"/>
  <c r="U28" i="23" s="1"/>
  <c r="U38" i="23" s="1"/>
  <c r="U40" i="23" s="1"/>
  <c r="U63" i="23" s="1"/>
  <c r="U59" i="23"/>
  <c r="U60" i="23" s="1"/>
  <c r="U65" i="23" s="1"/>
  <c r="U43" i="23"/>
  <c r="U44" i="23" s="1"/>
  <c r="U54" i="23" s="1"/>
  <c r="U56" i="23" s="1"/>
  <c r="U64" i="23" s="1"/>
  <c r="O27" i="23"/>
  <c r="O28" i="23" s="1"/>
  <c r="O38" i="23" s="1"/>
  <c r="O40" i="23" s="1"/>
  <c r="O63" i="23" s="1"/>
  <c r="O59" i="23"/>
  <c r="O60" i="23" s="1"/>
  <c r="O65" i="23" s="1"/>
  <c r="O43" i="23"/>
  <c r="O44" i="23" s="1"/>
  <c r="O54" i="23" s="1"/>
  <c r="O56" i="23" s="1"/>
  <c r="O64" i="23" s="1"/>
  <c r="Y27" i="23"/>
  <c r="Y28" i="23" s="1"/>
  <c r="Y38" i="23" s="1"/>
  <c r="Y40" i="23" s="1"/>
  <c r="Y63" i="23" s="1"/>
  <c r="Y59" i="23"/>
  <c r="Y60" i="23" s="1"/>
  <c r="Y65" i="23" s="1"/>
  <c r="Y43" i="23"/>
  <c r="Y44" i="23" s="1"/>
  <c r="Y54" i="23" s="1"/>
  <c r="Y56" i="23" s="1"/>
  <c r="Y64" i="23" s="1"/>
  <c r="S59" i="23"/>
  <c r="S60" i="23" s="1"/>
  <c r="S65" i="23" s="1"/>
  <c r="S43" i="23"/>
  <c r="S44" i="23" s="1"/>
  <c r="S54" i="23" s="1"/>
  <c r="S56" i="23" s="1"/>
  <c r="S64" i="23" s="1"/>
  <c r="S27" i="23"/>
  <c r="S28" i="23" s="1"/>
  <c r="S38" i="23" s="1"/>
  <c r="S40" i="23" s="1"/>
  <c r="S63" i="23" s="1"/>
  <c r="S66" i="23" s="1"/>
  <c r="J59" i="23"/>
  <c r="J60" i="23" s="1"/>
  <c r="J65" i="23" s="1"/>
  <c r="J43" i="23"/>
  <c r="J44" i="23" s="1"/>
  <c r="J54" i="23" s="1"/>
  <c r="J56" i="23" s="1"/>
  <c r="J64" i="23" s="1"/>
  <c r="J27" i="23"/>
  <c r="J28" i="23" s="1"/>
  <c r="J38" i="23" s="1"/>
  <c r="J40" i="23" s="1"/>
  <c r="J63" i="23" s="1"/>
  <c r="K43" i="23"/>
  <c r="K44" i="23" s="1"/>
  <c r="K54" i="23" s="1"/>
  <c r="K56" i="23" s="1"/>
  <c r="K64" i="23" s="1"/>
  <c r="K27" i="23"/>
  <c r="K28" i="23" s="1"/>
  <c r="K38" i="23" s="1"/>
  <c r="K40" i="23" s="1"/>
  <c r="K63" i="23" s="1"/>
  <c r="K59" i="23"/>
  <c r="K60" i="23" s="1"/>
  <c r="K65" i="23" s="1"/>
  <c r="L43" i="23"/>
  <c r="L44" i="23" s="1"/>
  <c r="L54" i="23" s="1"/>
  <c r="L56" i="23" s="1"/>
  <c r="L64" i="23" s="1"/>
  <c r="L27" i="23"/>
  <c r="L28" i="23" s="1"/>
  <c r="L38" i="23" s="1"/>
  <c r="L40" i="23" s="1"/>
  <c r="L63" i="23" s="1"/>
  <c r="L59" i="23"/>
  <c r="L60" i="23" s="1"/>
  <c r="L65" i="23" s="1"/>
  <c r="R59" i="23"/>
  <c r="R60" i="23" s="1"/>
  <c r="R65" i="23" s="1"/>
  <c r="R43" i="23"/>
  <c r="R44" i="23" s="1"/>
  <c r="R54" i="23" s="1"/>
  <c r="R56" i="23" s="1"/>
  <c r="R64" i="23" s="1"/>
  <c r="R27" i="23"/>
  <c r="R28" i="23" s="1"/>
  <c r="R38" i="23" s="1"/>
  <c r="R40" i="23" s="1"/>
  <c r="R63" i="23" s="1"/>
  <c r="R66" i="23" s="1"/>
  <c r="N59" i="23"/>
  <c r="N60" i="23" s="1"/>
  <c r="N65" i="23" s="1"/>
  <c r="N43" i="23"/>
  <c r="N44" i="23" s="1"/>
  <c r="N54" i="23" s="1"/>
  <c r="N56" i="23" s="1"/>
  <c r="N64" i="23" s="1"/>
  <c r="N27" i="23"/>
  <c r="N28" i="23" s="1"/>
  <c r="N38" i="23" s="1"/>
  <c r="N40" i="23" s="1"/>
  <c r="N63" i="23" s="1"/>
  <c r="P27" i="23"/>
  <c r="P28" i="23" s="1"/>
  <c r="P38" i="23" s="1"/>
  <c r="P40" i="23" s="1"/>
  <c r="P63" i="23" s="1"/>
  <c r="P43" i="23"/>
  <c r="P44" i="23" s="1"/>
  <c r="P54" i="23" s="1"/>
  <c r="P56" i="23" s="1"/>
  <c r="P64" i="23" s="1"/>
  <c r="P59" i="23"/>
  <c r="P60" i="23" s="1"/>
  <c r="P65" i="23" s="1"/>
  <c r="N66" i="23" l="1"/>
  <c r="J66" i="23"/>
  <c r="M66" i="23"/>
  <c r="M13" i="24" s="1"/>
  <c r="M14" i="24" s="1"/>
  <c r="M18" i="24" s="1"/>
  <c r="M21" i="24" s="1"/>
  <c r="M24" i="24" s="1"/>
  <c r="F52" i="24" s="1"/>
  <c r="F28" i="25" s="1"/>
  <c r="F23" i="38" s="1"/>
  <c r="V66" i="23"/>
  <c r="V13" i="24" s="1"/>
  <c r="V14" i="24" s="1"/>
  <c r="V18" i="24" s="1"/>
  <c r="V21" i="24" s="1"/>
  <c r="V24" i="24" s="1"/>
  <c r="F61" i="24" s="1"/>
  <c r="F37" i="25" s="1"/>
  <c r="F77" i="38" s="1"/>
  <c r="Z66" i="23"/>
  <c r="Z13" i="24" s="1"/>
  <c r="Z14" i="24" s="1"/>
  <c r="Z18" i="24" s="1"/>
  <c r="Z21" i="24" s="1"/>
  <c r="Z24" i="24" s="1"/>
  <c r="F65" i="24" s="1"/>
  <c r="F41" i="25" s="1"/>
  <c r="F101" i="38" s="1"/>
  <c r="Q66" i="23"/>
  <c r="Q13" i="24" s="1"/>
  <c r="Q14" i="24" s="1"/>
  <c r="Q18" i="24" s="1"/>
  <c r="Q21" i="24" s="1"/>
  <c r="Q24" i="24" s="1"/>
  <c r="F56" i="24" s="1"/>
  <c r="F32" i="25" s="1"/>
  <c r="F47" i="38" s="1"/>
  <c r="Y66" i="23"/>
  <c r="K66" i="23"/>
  <c r="P66" i="23"/>
  <c r="J9" i="24"/>
  <c r="J10" i="24" s="1"/>
  <c r="J17" i="24" s="1"/>
  <c r="J20" i="24" s="1"/>
  <c r="J23" i="24" s="1"/>
  <c r="J13" i="24"/>
  <c r="J14" i="24" s="1"/>
  <c r="J18" i="24" s="1"/>
  <c r="J21" i="24" s="1"/>
  <c r="J24" i="24" s="1"/>
  <c r="F49" i="24" s="1"/>
  <c r="F25" i="25" s="1"/>
  <c r="F5" i="38" s="1"/>
  <c r="X66" i="23"/>
  <c r="O66" i="23"/>
  <c r="L66" i="23"/>
  <c r="U66" i="23"/>
  <c r="W66" i="23"/>
  <c r="R9" i="24"/>
  <c r="R10" i="24" s="1"/>
  <c r="R17" i="24" s="1"/>
  <c r="R20" i="24" s="1"/>
  <c r="R23" i="24" s="1"/>
  <c r="R13" i="24"/>
  <c r="R14" i="24" s="1"/>
  <c r="R18" i="24" s="1"/>
  <c r="R21" i="24" s="1"/>
  <c r="R24" i="24" s="1"/>
  <c r="F57" i="24" s="1"/>
  <c r="F33" i="25" s="1"/>
  <c r="F53" i="38" s="1"/>
  <c r="N9" i="24"/>
  <c r="N10" i="24" s="1"/>
  <c r="N17" i="24" s="1"/>
  <c r="N20" i="24" s="1"/>
  <c r="N23" i="24" s="1"/>
  <c r="N13" i="24"/>
  <c r="N14" i="24" s="1"/>
  <c r="N18" i="24" s="1"/>
  <c r="N21" i="24" s="1"/>
  <c r="N24" i="24" s="1"/>
  <c r="F53" i="24" s="1"/>
  <c r="F29" i="25" s="1"/>
  <c r="F29" i="38" s="1"/>
  <c r="S9" i="24"/>
  <c r="S10" i="24" s="1"/>
  <c r="S17" i="24" s="1"/>
  <c r="S20" i="24" s="1"/>
  <c r="S23" i="24" s="1"/>
  <c r="S13" i="24"/>
  <c r="S14" i="24" s="1"/>
  <c r="S18" i="24" s="1"/>
  <c r="S21" i="24" s="1"/>
  <c r="S24" i="24" s="1"/>
  <c r="F58" i="24" s="1"/>
  <c r="F34" i="25" s="1"/>
  <c r="F59" i="38" s="1"/>
  <c r="T66" i="23"/>
  <c r="M9" i="24" l="1"/>
  <c r="M10" i="24" s="1"/>
  <c r="M17" i="24" s="1"/>
  <c r="M20" i="24" s="1"/>
  <c r="M23" i="24" s="1"/>
  <c r="V9" i="24"/>
  <c r="V10" i="24" s="1"/>
  <c r="V17" i="24" s="1"/>
  <c r="V20" i="24" s="1"/>
  <c r="V23" i="24" s="1"/>
  <c r="Q9" i="24"/>
  <c r="Q10" i="24" s="1"/>
  <c r="Q17" i="24" s="1"/>
  <c r="Q20" i="24" s="1"/>
  <c r="Q23" i="24" s="1"/>
  <c r="Q25" i="24" s="1"/>
  <c r="Z9" i="24"/>
  <c r="Z10" i="24" s="1"/>
  <c r="Z17" i="24" s="1"/>
  <c r="Z20" i="24" s="1"/>
  <c r="Z23" i="24" s="1"/>
  <c r="Z25" i="24" s="1"/>
  <c r="K13" i="24"/>
  <c r="K14" i="24" s="1"/>
  <c r="K18" i="24" s="1"/>
  <c r="K21" i="24" s="1"/>
  <c r="K24" i="24" s="1"/>
  <c r="F50" i="24" s="1"/>
  <c r="F26" i="25" s="1"/>
  <c r="F11" i="38" s="1"/>
  <c r="K9" i="24"/>
  <c r="K10" i="24" s="1"/>
  <c r="K17" i="24" s="1"/>
  <c r="K20" i="24" s="1"/>
  <c r="K23" i="24" s="1"/>
  <c r="L9" i="24"/>
  <c r="L10" i="24" s="1"/>
  <c r="L17" i="24" s="1"/>
  <c r="L20" i="24" s="1"/>
  <c r="L23" i="24" s="1"/>
  <c r="L13" i="24"/>
  <c r="L14" i="24" s="1"/>
  <c r="L18" i="24" s="1"/>
  <c r="L21" i="24" s="1"/>
  <c r="L24" i="24" s="1"/>
  <c r="F51" i="24" s="1"/>
  <c r="Y13" i="24"/>
  <c r="Y14" i="24" s="1"/>
  <c r="Y18" i="24" s="1"/>
  <c r="Y21" i="24" s="1"/>
  <c r="Y24" i="24" s="1"/>
  <c r="F64" i="24" s="1"/>
  <c r="F40" i="25" s="1"/>
  <c r="F95" i="38" s="1"/>
  <c r="Y9" i="24"/>
  <c r="Y10" i="24" s="1"/>
  <c r="Y17" i="24" s="1"/>
  <c r="Y20" i="24" s="1"/>
  <c r="Y23" i="24" s="1"/>
  <c r="T9" i="24"/>
  <c r="T10" i="24" s="1"/>
  <c r="T17" i="24" s="1"/>
  <c r="T20" i="24" s="1"/>
  <c r="T23" i="24" s="1"/>
  <c r="T13" i="24"/>
  <c r="T14" i="24" s="1"/>
  <c r="T18" i="24" s="1"/>
  <c r="T21" i="24" s="1"/>
  <c r="T24" i="24" s="1"/>
  <c r="F59" i="24" s="1"/>
  <c r="F35" i="25" s="1"/>
  <c r="F65" i="38" s="1"/>
  <c r="M25" i="24"/>
  <c r="F33" i="24"/>
  <c r="F9" i="25" s="1"/>
  <c r="F22" i="38" s="1"/>
  <c r="S25" i="24"/>
  <c r="F39" i="24"/>
  <c r="F15" i="25" s="1"/>
  <c r="F58" i="38" s="1"/>
  <c r="R25" i="24"/>
  <c r="F38" i="24"/>
  <c r="F14" i="25" s="1"/>
  <c r="F52" i="38" s="1"/>
  <c r="J25" i="24"/>
  <c r="F30" i="24"/>
  <c r="F6" i="25" s="1"/>
  <c r="F4" i="38" s="1"/>
  <c r="U13" i="24"/>
  <c r="U14" i="24" s="1"/>
  <c r="U18" i="24" s="1"/>
  <c r="U21" i="24" s="1"/>
  <c r="U24" i="24" s="1"/>
  <c r="F60" i="24" s="1"/>
  <c r="F36" i="25" s="1"/>
  <c r="F71" i="38" s="1"/>
  <c r="U9" i="24"/>
  <c r="U10" i="24" s="1"/>
  <c r="U17" i="24" s="1"/>
  <c r="U20" i="24" s="1"/>
  <c r="U23" i="24" s="1"/>
  <c r="X13" i="24"/>
  <c r="X14" i="24" s="1"/>
  <c r="X18" i="24" s="1"/>
  <c r="X21" i="24" s="1"/>
  <c r="X24" i="24" s="1"/>
  <c r="F63" i="24" s="1"/>
  <c r="F39" i="25" s="1"/>
  <c r="F89" i="38" s="1"/>
  <c r="X9" i="24"/>
  <c r="X10" i="24" s="1"/>
  <c r="X17" i="24" s="1"/>
  <c r="X20" i="24" s="1"/>
  <c r="X23" i="24" s="1"/>
  <c r="N25" i="24"/>
  <c r="F34" i="24"/>
  <c r="F10" i="25" s="1"/>
  <c r="F28" i="38" s="1"/>
  <c r="W13" i="24"/>
  <c r="W14" i="24" s="1"/>
  <c r="W18" i="24" s="1"/>
  <c r="W21" i="24" s="1"/>
  <c r="W24" i="24" s="1"/>
  <c r="F62" i="24" s="1"/>
  <c r="F38" i="25" s="1"/>
  <c r="F83" i="38" s="1"/>
  <c r="W9" i="24"/>
  <c r="W10" i="24" s="1"/>
  <c r="W17" i="24" s="1"/>
  <c r="W20" i="24" s="1"/>
  <c r="W23" i="24" s="1"/>
  <c r="P13" i="24"/>
  <c r="P14" i="24" s="1"/>
  <c r="P18" i="24" s="1"/>
  <c r="P21" i="24" s="1"/>
  <c r="P24" i="24" s="1"/>
  <c r="F55" i="24" s="1"/>
  <c r="F31" i="25" s="1"/>
  <c r="F41" i="38" s="1"/>
  <c r="P9" i="24"/>
  <c r="P10" i="24" s="1"/>
  <c r="P17" i="24" s="1"/>
  <c r="P20" i="24" s="1"/>
  <c r="P23" i="24" s="1"/>
  <c r="V25" i="24"/>
  <c r="F42" i="24"/>
  <c r="F18" i="25" s="1"/>
  <c r="F76" i="38" s="1"/>
  <c r="O9" i="24"/>
  <c r="O10" i="24" s="1"/>
  <c r="O17" i="24" s="1"/>
  <c r="O20" i="24" s="1"/>
  <c r="O23" i="24" s="1"/>
  <c r="O13" i="24"/>
  <c r="O14" i="24" s="1"/>
  <c r="O18" i="24" s="1"/>
  <c r="O21" i="24" s="1"/>
  <c r="O24" i="24" s="1"/>
  <c r="F54" i="24" s="1"/>
  <c r="F30" i="25" s="1"/>
  <c r="F35" i="38" s="1"/>
  <c r="F17" i="38" l="1"/>
  <c r="F37" i="24"/>
  <c r="F13" i="25" s="1"/>
  <c r="F46" i="38" s="1"/>
  <c r="F46" i="24"/>
  <c r="F22" i="25" s="1"/>
  <c r="F100" i="38" s="1"/>
  <c r="W25" i="24"/>
  <c r="F43" i="24"/>
  <c r="F19" i="25" s="1"/>
  <c r="F82" i="38" s="1"/>
  <c r="L25" i="24"/>
  <c r="F32" i="24"/>
  <c r="F8" i="25" s="1"/>
  <c r="F16" i="38" s="1"/>
  <c r="Y25" i="24"/>
  <c r="F45" i="24"/>
  <c r="F21" i="25" s="1"/>
  <c r="F94" i="38" s="1"/>
  <c r="K25" i="24"/>
  <c r="F31" i="24"/>
  <c r="F7" i="25" s="1"/>
  <c r="F10" i="38" s="1"/>
  <c r="X25" i="24"/>
  <c r="F44" i="24"/>
  <c r="F20" i="25" s="1"/>
  <c r="F88" i="38" s="1"/>
  <c r="O25" i="24"/>
  <c r="F35" i="24"/>
  <c r="F11" i="25" s="1"/>
  <c r="F34" i="38" s="1"/>
  <c r="U25" i="24"/>
  <c r="F41" i="24"/>
  <c r="F17" i="25" s="1"/>
  <c r="F70" i="38" s="1"/>
  <c r="T25" i="24"/>
  <c r="F40" i="24"/>
  <c r="F16" i="25" s="1"/>
  <c r="F64" i="38" s="1"/>
  <c r="P25" i="24"/>
  <c r="F36" i="24"/>
  <c r="F12" i="25" s="1"/>
  <c r="F40" i="38" s="1"/>
</calcChain>
</file>

<file path=xl/sharedStrings.xml><?xml version="1.0" encoding="utf-8"?>
<sst xmlns="http://schemas.openxmlformats.org/spreadsheetml/2006/main" count="2159" uniqueCount="272">
  <si>
    <t>Model name:</t>
  </si>
  <si>
    <t>D-MeX PR19 reconciliation model</t>
  </si>
  <si>
    <t>Model code:</t>
  </si>
  <si>
    <t>PR24PD03</t>
  </si>
  <si>
    <t>Version number:</t>
  </si>
  <si>
    <t>Filename:</t>
  </si>
  <si>
    <t>FD Developer measure of experience - D-MeX</t>
  </si>
  <si>
    <t>Date:</t>
  </si>
  <si>
    <t xml:space="preserve">Author: </t>
  </si>
  <si>
    <t>Ofwat</t>
  </si>
  <si>
    <t>Author contact information:</t>
  </si>
  <si>
    <t>PR24@ofwat.gov.uk</t>
  </si>
  <si>
    <t>Summary of model:</t>
  </si>
  <si>
    <t>This model shows how we intend to reconcile outperformance and underperformance payments during our in-period determination of D-MeX.</t>
  </si>
  <si>
    <t>See our policy decisions in 'PR19 final determinations: Customer measure of experience (C-MeX) and developer services measure of experience (D-MeX) policy appendix'.</t>
  </si>
  <si>
    <t>Disclaimer:</t>
  </si>
  <si>
    <t xml:space="preserve">This model is part of our final determinations setting out the price, service, and incentive package for water companies for the period 2025-30. </t>
  </si>
  <si>
    <t>It should be read together with the other documents and information that we have now published</t>
  </si>
  <si>
    <t>Known limitations of the model:</t>
  </si>
  <si>
    <t>There are no known issues in the model</t>
  </si>
  <si>
    <t>Issue</t>
  </si>
  <si>
    <t>Details</t>
  </si>
  <si>
    <t>Model link</t>
  </si>
  <si>
    <t>n/a</t>
  </si>
  <si>
    <t>Changes</t>
  </si>
  <si>
    <t>Below are details of changes to the model from the version 1.1 published on March 2020. The changes fix issues that have been identified and implement improvements for clarity and ease of use.</t>
  </si>
  <si>
    <t>Category</t>
  </si>
  <si>
    <t>Sheet(s) in current model</t>
  </si>
  <si>
    <t>Description of change(s) made</t>
  </si>
  <si>
    <t>Model link(s)</t>
  </si>
  <si>
    <t>Formula Update</t>
  </si>
  <si>
    <t>All</t>
  </si>
  <si>
    <t>Redesigned model to be more in line with the FAST modelling standard.</t>
  </si>
  <si>
    <t>Model prepared for 2021-22.</t>
  </si>
  <si>
    <t>Logic Update</t>
  </si>
  <si>
    <t>Index</t>
  </si>
  <si>
    <t>Included indexation details required to adjust D-Mex payments from nominal to 2017-18 prices based on the November CPIH details used in the in-period adjustments model. New lines added on Performance payments sheet to adjust the the price base of the payments.</t>
  </si>
  <si>
    <t>Payment rates</t>
  </si>
  <si>
    <t>Included trap for divide by zero errors on Payments rates</t>
  </si>
  <si>
    <t>Instructions:</t>
  </si>
  <si>
    <t>Annual qualitative survey scores, annual quantitative metrics scores and actual developer services revenue (split by water and wastewater) data is added to the 'Inputs' worksheet.</t>
  </si>
  <si>
    <t>The % weightings for the qualitative and quantitative components, and the % payment rates for maximum underperformance and maximum overperformance, on the 'Inputs' worksheet, should not be altered.</t>
  </si>
  <si>
    <t>END OF SHEET</t>
  </si>
  <si>
    <t>COVER SHEETS</t>
  </si>
  <si>
    <t>INPUTS</t>
  </si>
  <si>
    <t>CALCULATIONS</t>
  </si>
  <si>
    <t>OUTPUTS</t>
  </si>
  <si>
    <t>DOCUMENTATION AND QUALITY CONTROL</t>
  </si>
  <si>
    <t>Documentation</t>
  </si>
  <si>
    <t>Quality Control</t>
  </si>
  <si>
    <t>Cover</t>
  </si>
  <si>
    <t>Inputs</t>
  </si>
  <si>
    <t>Outputs</t>
  </si>
  <si>
    <t>Model formatting</t>
  </si>
  <si>
    <t>Validation</t>
  </si>
  <si>
    <t>Front cover</t>
  </si>
  <si>
    <t>Required inputs for the calculation of D-MeX performance payments</t>
  </si>
  <si>
    <t>Calculates each company's outperformance or underperformance rates based on its D-MeX score</t>
  </si>
  <si>
    <t>Presents each company's revenue adjustment which will be applied by the PR19 in-period adjustments model for outcome delivery incentives (ODIs)</t>
  </si>
  <si>
    <t>Performance payments</t>
  </si>
  <si>
    <t>Calculates each company's outperformance or underperformance payments based on each company's rate and allowed revenue</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</si>
  <si>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</si>
  <si>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</si>
  <si>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</si>
  <si>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</si>
  <si>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</si>
  <si>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</si>
  <si>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</si>
  <si>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</si>
  <si>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</si>
  <si>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</si>
  <si>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</si>
  <si>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Orange</t>
  </si>
  <si>
    <t>To be used for internal purposes only, removed prior to publication</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</si>
  <si>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</si>
  <si>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</si>
  <si>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</si>
  <si>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</si>
  <si>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</si>
  <si>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</si>
  <si>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</si>
  <si>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</si>
  <si>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</si>
  <si>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</si>
  <si>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Light Yellow shade with stripe through</t>
  </si>
  <si>
    <t>Input with value that is not expected to change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</si>
  <si>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</si>
  <si>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</si>
  <si>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</si>
  <si>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</si>
  <si>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</si>
  <si>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</si>
  <si>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</si>
  <si>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</si>
  <si>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</si>
  <si>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</si>
  <si>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</si>
  <si>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</si>
  <si>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</si>
  <si>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</si>
  <si>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</si>
  <si>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</si>
  <si>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</si>
  <si>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</si>
  <si>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</si>
  <si>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</si>
  <si>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</si>
  <si>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</si>
  <si>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</si>
  <si>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</si>
  <si>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Company name</t>
  </si>
  <si>
    <t>Acronym</t>
  </si>
  <si>
    <t>Affinity Water</t>
  </si>
  <si>
    <t>AFW</t>
  </si>
  <si>
    <t>Anglian Water</t>
  </si>
  <si>
    <t>ANH</t>
  </si>
  <si>
    <t>Bristol Water</t>
  </si>
  <si>
    <t>BRL</t>
  </si>
  <si>
    <t>Dŵr Cymru</t>
  </si>
  <si>
    <t>WSH</t>
  </si>
  <si>
    <t>Hafren Dyfrdwy</t>
  </si>
  <si>
    <t>HDD</t>
  </si>
  <si>
    <t>Northumbrian Water</t>
  </si>
  <si>
    <t>NES</t>
  </si>
  <si>
    <t>Portsmouth Water</t>
  </si>
  <si>
    <t>PRT</t>
  </si>
  <si>
    <t>SES Water</t>
  </si>
  <si>
    <t>SES</t>
  </si>
  <si>
    <t>Severn Trent Water</t>
  </si>
  <si>
    <t>SVE</t>
  </si>
  <si>
    <t>South East Water</t>
  </si>
  <si>
    <t>SEW</t>
  </si>
  <si>
    <t>South Staffs Water</t>
  </si>
  <si>
    <t>SSC</t>
  </si>
  <si>
    <t>South West Water</t>
  </si>
  <si>
    <t>SWB</t>
  </si>
  <si>
    <t>Southern Water</t>
  </si>
  <si>
    <t>SRN</t>
  </si>
  <si>
    <t>Thames Water</t>
  </si>
  <si>
    <t>TMS</t>
  </si>
  <si>
    <t>United Utilities</t>
  </si>
  <si>
    <t>NWT</t>
  </si>
  <si>
    <t>Wessex Water</t>
  </si>
  <si>
    <t>WSX</t>
  </si>
  <si>
    <t>Yorkshire Water</t>
  </si>
  <si>
    <t>YKY</t>
  </si>
  <si>
    <t>IPD03_IN</t>
  </si>
  <si>
    <t>Run on 06 Aug 2024 12:11</t>
  </si>
  <si>
    <t>Reference</t>
  </si>
  <si>
    <t>Item description</t>
  </si>
  <si>
    <t>Unit</t>
  </si>
  <si>
    <t>Model</t>
  </si>
  <si>
    <t>PR19 in period determinations</t>
  </si>
  <si>
    <t>IPD Run 7</t>
  </si>
  <si>
    <t>Latest</t>
  </si>
  <si>
    <t>2023-24</t>
  </si>
  <si>
    <t>APR3D_01</t>
  </si>
  <si>
    <t>Qualitative component annual results</t>
  </si>
  <si>
    <t>Nr</t>
  </si>
  <si>
    <t>PR19 In Period Determinations</t>
  </si>
  <si>
    <t>APR3D_02</t>
  </si>
  <si>
    <t>Quantitative component annual results</t>
  </si>
  <si>
    <t>APR3D_03</t>
  </si>
  <si>
    <t>D-MeX score</t>
  </si>
  <si>
    <t>APR3D_04</t>
  </si>
  <si>
    <t>Developer services revenue (water)</t>
  </si>
  <si>
    <t>£m</t>
  </si>
  <si>
    <t>APR3D_05</t>
  </si>
  <si>
    <t>Developer services revenue (wastewater)</t>
  </si>
  <si>
    <t>See RAG guidance</t>
  </si>
  <si>
    <t>APR3D_0001</t>
  </si>
  <si>
    <t>Number</t>
  </si>
  <si>
    <t>Price Review 2019</t>
  </si>
  <si>
    <t>APR3D_0002</t>
  </si>
  <si>
    <t>APR3D_0003</t>
  </si>
  <si>
    <t>APR3D_0004</t>
  </si>
  <si>
    <t>APR3D_0005</t>
  </si>
  <si>
    <t>Constant</t>
  </si>
  <si>
    <t>Total</t>
  </si>
  <si>
    <t>Annual company D-MeX scores</t>
  </si>
  <si>
    <t>Annual qualitative survey scores</t>
  </si>
  <si>
    <t>As reported by each company in its annual performance report</t>
  </si>
  <si>
    <t>Annual quantitative metrics scores</t>
  </si>
  <si>
    <t>Developer services revenue</t>
  </si>
  <si>
    <t>Actual developer services revenue (water)</t>
  </si>
  <si>
    <t>Each company's actual developer services revenue in the year of performance (water)</t>
  </si>
  <si>
    <t>£m (nominal)</t>
  </si>
  <si>
    <t>Actual developer services revenue (wastewater)</t>
  </si>
  <si>
    <t>Each company's actual developer services revenue in the year of performance (wastewater)</t>
  </si>
  <si>
    <t>Transform industry data into horizontal format</t>
  </si>
  <si>
    <t>Company names</t>
  </si>
  <si>
    <t>Text</t>
  </si>
  <si>
    <t>D-MeX score - qualitative component</t>
  </si>
  <si>
    <t>D-MeX score - quantitative component</t>
  </si>
  <si>
    <t>Developer services revenue - water</t>
  </si>
  <si>
    <t>Developer services revenue - wastewater</t>
  </si>
  <si>
    <t>Inputs for policy decisions (provided by Ofwat)</t>
  </si>
  <si>
    <t>Weights</t>
  </si>
  <si>
    <t>Weighting for qualitative component</t>
  </si>
  <si>
    <t>Percentage</t>
  </si>
  <si>
    <t>Weighting for quantitative component</t>
  </si>
  <si>
    <t>Maximum and minimum payment rates</t>
  </si>
  <si>
    <t>Maximum outperformance payment rates</t>
  </si>
  <si>
    <t>Maximum underperformance payment rates</t>
  </si>
  <si>
    <t>Model Period END</t>
  </si>
  <si>
    <t>Pre Forecast vs Forecast</t>
  </si>
  <si>
    <t>Pre Fcst</t>
  </si>
  <si>
    <t>Forecast</t>
  </si>
  <si>
    <t>Financial Year Ending</t>
  </si>
  <si>
    <t>Model column counter</t>
  </si>
  <si>
    <t>Report year</t>
  </si>
  <si>
    <t>Report year financial year ending</t>
  </si>
  <si>
    <t>Indexation</t>
  </si>
  <si>
    <t>CPIH: ONS published index for November</t>
  </si>
  <si>
    <t>CPIH: Nov - Nov index inflating from 2017-18</t>
  </si>
  <si>
    <t>CPIH index November (prior year to base year 2017-18)</t>
  </si>
  <si>
    <t>Base year 2017-18 or later flag</t>
  </si>
  <si>
    <t>Flag</t>
  </si>
  <si>
    <t>CPIH index November (prior year)</t>
  </si>
  <si>
    <t>CPIH: Nov - Nov index (prior year) inflating from 2017-18</t>
  </si>
  <si>
    <t>Factor</t>
  </si>
  <si>
    <t>END</t>
  </si>
  <si>
    <t>Companies' D-MeX scores</t>
  </si>
  <si>
    <t>Statistical parameters</t>
  </si>
  <si>
    <t>D-MeX score - mean average</t>
  </si>
  <si>
    <t>D-MeX score - median average</t>
  </si>
  <si>
    <t>D-MeX score - maximum</t>
  </si>
  <si>
    <t>D-MeX score - minimum</t>
  </si>
  <si>
    <t>Difference from median</t>
  </si>
  <si>
    <t>Performance payment rates</t>
  </si>
  <si>
    <t>If score is above the median</t>
  </si>
  <si>
    <t>Difference from median - positive scores only</t>
  </si>
  <si>
    <t>Difference between median and maximum score</t>
  </si>
  <si>
    <t>Outperformance rate - % per score</t>
  </si>
  <si>
    <t>Company's standard outperformance rate</t>
  </si>
  <si>
    <t>If score is below the median</t>
  </si>
  <si>
    <t>Difference from median - negative scores only</t>
  </si>
  <si>
    <t>Difference between median and minimum score</t>
  </si>
  <si>
    <t>Underperformance rate - % per score</t>
  </si>
  <si>
    <t>Company's standard underperformance rate</t>
  </si>
  <si>
    <t>If score is equal to the median</t>
  </si>
  <si>
    <t>Median company's payment rate</t>
  </si>
  <si>
    <t>Company's standard performance payment rate</t>
  </si>
  <si>
    <t>Company's performance payment rate</t>
  </si>
  <si>
    <t>Companies' D-MeX payments</t>
  </si>
  <si>
    <t>Performance payments - water</t>
  </si>
  <si>
    <t>Performance payments - wastewater</t>
  </si>
  <si>
    <t>Price base adjusted from nominal to 2017-18 prices</t>
  </si>
  <si>
    <t>£m (2017-18 FYA CPIH prices)</t>
  </si>
  <si>
    <t>Total performance payments</t>
  </si>
  <si>
    <t>Transform industry data into vertical format</t>
  </si>
  <si>
    <t>Total performance payments (water)</t>
  </si>
  <si>
    <t>£m (2017-17 FYA CPIH prices)</t>
  </si>
  <si>
    <t>Total performance payments (wastewater)</t>
  </si>
  <si>
    <t>Companies' performance payments for D-MeX</t>
  </si>
  <si>
    <t>[Fountain will populate this cell with the report name. Keep this placeholder here]</t>
  </si>
  <si>
    <t>[Fountain will put a date and timestamp here]</t>
  </si>
  <si>
    <t>C_PR24PD03_OUT_01_PR24</t>
  </si>
  <si>
    <t>Other in-period performance payments - D-MeX (water network plus)</t>
  </si>
  <si>
    <t>Price Review 2024</t>
  </si>
  <si>
    <t>C_PR24PD03_OUT_02_PR24</t>
  </si>
  <si>
    <t>Other in-period performance payments - D-MeX (wastewater network plus)</t>
  </si>
  <si>
    <t>PR24QA_PR24PD03_OUT1</t>
  </si>
  <si>
    <t>Date &amp; Time for Model - PR24PD03</t>
  </si>
  <si>
    <t>PR24QA_PR24PD03_OUT2</t>
  </si>
  <si>
    <t>Name of Model - PR24PD03</t>
  </si>
  <si>
    <t>PR24QA_PR24PD03_OUT3</t>
  </si>
  <si>
    <t>F_Inputs time stamp - PR24PD03</t>
  </si>
  <si>
    <t>N/A</t>
  </si>
  <si>
    <t>PR24QA_PR24PD03_OUT4</t>
  </si>
  <si>
    <t>Model override switch for - PR24PD03</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</si>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</sst>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_);\(#,##0\);&quot;-  &quot;;&quot; &quot;@&quot; &quot;"/>
    <numFmt numFmtId="165" formatCode="0.000"/>
    <numFmt numFmtId="166" formatCode="0.0%"/>
    <numFmt numFmtId="167" formatCode="0.0"/>
    <numFmt numFmtId="168" formatCode="dd\ mmm\ yyyy_);\(###0\);&quot;-  &quot;;&quot; &quot;@&quot; &quot;"/>
    <numFmt numFmtId="169" formatCode="#,##0_);\(#,##0\);&quot;-  &quot;;&quot; &quot;@"/>
    <numFmt numFmtId="170" formatCode="#,##0.0000_);\(#,##0.0000\);&quot;-  &quot;;&quot; &quot;@&quot; &quot;"/>
    <numFmt numFmtId="171" formatCode="#,##0.00_);\(#,##0.00\);&quot;-  &quot;;&quot; &quot;@&quot; &quot;"/>
    <numFmt numFmtId="172" formatCode="#,##0.000"/>
    <numFmt numFmtId="173" formatCode="dd\ mmm\ yy_);\(###0\);&quot;-  &quot;;&quot; &quot;@&quot; &quot;"/>
    <numFmt numFmtId="174" formatCode="_(* #,##0_);_(* \(#,##0\);_(* &quot;-&quot;??_);_(@_)"/>
    <numFmt numFmtId="175" formatCode="0.00%_);\-0.00%_);&quot;-  &quot;;&quot; &quot;@&quot; &quot;"/>
    <numFmt numFmtId="176" formatCode="#,##0.000_);\(#,##0.000\);&quot;-  &quot;;&quot; &quot;@&quot; &quot;"/>
    <numFmt numFmtId="177" formatCode="0.000000"/>
    <numFmt numFmtId="178" formatCode="#,##0.0_);\(#,##0.0\);&quot;-  &quot;;&quot; &quot;@&quot; &quot;"/>
    <numFmt numFmtId="179" formatCode="#,##0.0"/>
  </numFmts>
  <fonts count="6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24"/>
      <color theme="0"/>
      <name val="Franklin Gothic Demi"/>
      <family val="2"/>
    </font>
    <font>
      <sz val="10"/>
      <color theme="1"/>
      <name val="Arial"/>
      <family val="2"/>
    </font>
    <font>
      <sz val="11"/>
      <color theme="1"/>
      <name val="Franklin Gothic Demi"/>
      <family val="2"/>
    </font>
    <font>
      <sz val="10"/>
      <color theme="1"/>
      <name val="Franklin Gothic Demi"/>
      <family val="2"/>
    </font>
    <font>
      <sz val="10"/>
      <color rgb="FF0078C9"/>
      <name val="Arial"/>
      <family val="2"/>
    </font>
    <font>
      <sz val="10"/>
      <color theme="0"/>
      <name val="Franklin Gothic Demi"/>
      <family val="2"/>
    </font>
    <font>
      <sz val="10"/>
      <color theme="0"/>
      <name val="Arial"/>
      <family val="2"/>
    </font>
    <font>
      <sz val="10"/>
      <color rgb="FF9C0006"/>
      <name val="Arial"/>
      <family val="2"/>
    </font>
    <font>
      <sz val="10"/>
      <color rgb="FF0078C9"/>
      <name val="Franklin Gothic Demi"/>
      <family val="2"/>
    </font>
    <font>
      <sz val="10"/>
      <color rgb="FFFE4819"/>
      <name val="Arial"/>
      <family val="2"/>
    </font>
    <font>
      <sz val="10"/>
      <color rgb="FF719500"/>
      <name val="Arial"/>
      <family val="2"/>
    </font>
    <font>
      <sz val="10"/>
      <color rgb="FF006100"/>
      <name val="Arial"/>
      <family val="2"/>
    </font>
    <font>
      <sz val="10"/>
      <color rgb="FF9C6500"/>
      <name val="Arial"/>
      <family val="2"/>
    </font>
    <font>
      <u/>
      <sz val="10"/>
      <color theme="10"/>
      <name val="Arial"/>
      <family val="2"/>
    </font>
    <font>
      <b/>
      <sz val="10"/>
      <color theme="1"/>
      <name val="Arial"/>
      <family val="2"/>
    </font>
    <font>
      <sz val="10"/>
      <color theme="0" tint="-0.249977111117893"/>
      <name val="Arial"/>
      <family val="2"/>
    </font>
    <font>
      <sz val="10"/>
      <name val="Arial"/>
      <family val="2"/>
    </font>
    <font>
      <sz val="10"/>
      <color indexed="12"/>
      <name val="Arial"/>
      <family val="2"/>
    </font>
    <font>
      <sz val="10"/>
      <color theme="4"/>
      <name val="Arial"/>
      <family val="2"/>
    </font>
    <font>
      <sz val="10"/>
      <color theme="9"/>
      <name val="Arial"/>
      <family val="2"/>
    </font>
    <font>
      <sz val="10"/>
      <color rgb="FF0078C9"/>
      <name val="Franklin Gothic Demi"/>
      <family val="2"/>
      <scheme val="major"/>
    </font>
    <font>
      <sz val="10"/>
      <name val="Arial"/>
      <family val="2"/>
      <scheme val="minor"/>
    </font>
    <font>
      <sz val="10"/>
      <name val="Franklin Gothic Demi"/>
      <family val="2"/>
    </font>
    <font>
      <b/>
      <sz val="10"/>
      <name val="Arial"/>
      <family val="2"/>
    </font>
    <font>
      <b/>
      <sz val="10"/>
      <name val="Arial"/>
      <family val="2"/>
      <scheme val="minor"/>
    </font>
    <font>
      <b/>
      <i/>
      <sz val="10"/>
      <color theme="1"/>
      <name val="Arial"/>
      <family val="2"/>
    </font>
    <font>
      <b/>
      <sz val="10"/>
      <color theme="9"/>
      <name val="Arial"/>
      <family val="2"/>
    </font>
    <font>
      <b/>
      <i/>
      <sz val="10"/>
      <name val="Arial"/>
      <family val="2"/>
    </font>
    <font>
      <u/>
      <sz val="10"/>
      <name val="Arial"/>
      <family val="2"/>
    </font>
    <font>
      <sz val="10"/>
      <color indexed="10"/>
      <name val="Arial"/>
      <family val="2"/>
    </font>
    <font>
      <sz val="12"/>
      <color theme="0"/>
      <name val="Franklin Gothic Demi"/>
      <family val="2"/>
    </font>
    <font>
      <sz val="10"/>
      <color rgb="FF0000FF"/>
      <name val="Arial"/>
      <family val="2"/>
    </font>
    <font>
      <b/>
      <sz val="22.5"/>
      <color theme="0"/>
      <name val="Franklin Gothic Demi"/>
      <family val="2"/>
    </font>
    <font>
      <i/>
      <sz val="12"/>
      <color theme="0"/>
      <name val="Franklin Gothic Demi"/>
      <family val="2"/>
    </font>
    <font>
      <sz val="12"/>
      <color rgb="FF000000"/>
      <name val="Franklin Gothic Book"/>
      <family val="2"/>
    </font>
    <font>
      <sz val="10"/>
      <color rgb="FF000000"/>
      <name val="Arial"/>
      <family val="2"/>
    </font>
    <font>
      <i/>
      <sz val="12"/>
      <color rgb="FF000000"/>
      <name val="Franklin Gothic Demi"/>
      <family val="2"/>
    </font>
    <font>
      <b/>
      <u/>
      <sz val="10"/>
      <color theme="1"/>
      <name val="Arial"/>
      <family val="2"/>
    </font>
    <font>
      <b/>
      <sz val="10"/>
      <color theme="0"/>
      <name val="Arial"/>
      <family val="2"/>
    </font>
    <font>
      <sz val="10"/>
      <color rgb="FF0070C0"/>
      <name val="Arial"/>
      <family val="2"/>
    </font>
    <font>
      <sz val="8"/>
      <name val="Arial"/>
      <family val="2"/>
    </font>
    <font>
      <sz val="10"/>
      <color theme="1"/>
      <name val="Arial"/>
      <family val="2"/>
      <scheme val="minor"/>
    </font>
    <font>
      <b/>
      <sz val="10"/>
      <color theme="1"/>
      <name val="Arial"/>
      <family val="2"/>
      <scheme val="minor"/>
    </font>
    <font>
      <b/>
      <sz val="10"/>
      <color rgb="FF000000"/>
      <name val="Arial"/>
      <family val="2"/>
      <scheme val="minor"/>
    </font>
    <font>
      <sz val="10"/>
      <color rgb="FF000000"/>
      <name val="Arial"/>
      <family val="2"/>
      <scheme val="minor"/>
    </font>
    <font>
      <sz val="22"/>
      <color theme="0"/>
      <name val="Franklin Gothic Demi"/>
      <family val="2"/>
      <scheme val="major"/>
    </font>
    <font>
      <i/>
      <sz val="22"/>
      <color rgb="FF00B050"/>
      <name val="Franklin Gothic Demi"/>
      <family val="2"/>
      <scheme val="major"/>
    </font>
    <font>
      <sz val="22"/>
      <name val="Franklin Gothic Demi"/>
      <family val="2"/>
      <scheme val="major"/>
    </font>
    <font>
      <sz val="22"/>
      <color theme="1"/>
      <name val="Franklin Gothic Demi"/>
      <family val="2"/>
      <scheme val="major"/>
    </font>
    <font>
      <i/>
      <sz val="10"/>
      <color rgb="FF00B050"/>
      <name val="Arial"/>
      <family val="2"/>
    </font>
    <font>
      <b/>
      <u/>
      <sz val="10"/>
      <name val="Arial"/>
      <family val="2"/>
    </font>
    <font>
      <u/>
      <sz val="10"/>
      <color theme="1"/>
      <name val="Arial"/>
      <family val="2"/>
    </font>
    <font>
      <sz val="10"/>
      <color rgb="FFFF0000"/>
      <name val="Arial"/>
      <family val="2"/>
    </font>
    <font>
      <b/>
      <sz val="10"/>
      <color rgb="FFFF0000"/>
      <name val="Arial"/>
      <family val="2"/>
    </font>
    <font>
      <u/>
      <sz val="10"/>
      <color theme="0"/>
      <name val="Arial"/>
      <family val="2"/>
    </font>
    <font>
      <b/>
      <u/>
      <sz val="11"/>
      <name val="Calibri"/>
      <family val="2"/>
    </font>
    <font>
      <sz val="11"/>
      <color rgb="FF000000"/>
      <name val="Arial"/>
      <family val="2"/>
    </font>
    <font>
      <sz val="11"/>
      <color rgb="FF000000"/>
      <name val="Calibri"/>
      <family val="2"/>
    </font>
    <font>
      <sz val="11"/>
      <name val="Calibri"/>
      <family val="2"/>
    </font>
    <font>
      <sz val="11"/>
      <color theme="1"/>
      <name val="Calibri"/>
      <family val="2"/>
    </font>
    <font>
      <b/>
      <sz val="11"/>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rgb="FFFCEABF"/>
        <bgColor indexed="64"/>
      </patternFill>
    </fill>
    <fill>
      <patternFill patternType="solid">
        <fgColor rgb="FFE0DCD8"/>
        <bgColor indexed="64"/>
      </patternFill>
    </fill>
    <fill>
      <patternFill patternType="solid">
        <fgColor rgb="FF7FBBE4"/>
        <bgColor indexed="64"/>
      </patternFill>
    </fill>
    <fill>
      <patternFill patternType="solid">
        <fgColor rgb="FFD740A2"/>
        <bgColor indexed="64"/>
      </patternFill>
    </fill>
    <fill>
      <patternFill patternType="solid">
        <fgColor rgb="FFBFDDF1"/>
        <bgColor indexed="64"/>
      </patternFill>
    </fill>
    <fill>
      <patternFill patternType="solid">
        <fgColor rgb="FF003479"/>
        <bgColor indexed="64"/>
      </patternFill>
    </fill>
    <fill>
      <patternFill patternType="solid">
        <fgColor theme="0"/>
        <bgColor indexed="64"/>
      </patternFill>
    </fill>
    <fill>
      <patternFill patternType="solid">
        <fgColor rgb="FFFFFF00"/>
        <bgColor indexed="64"/>
      </patternFill>
    </fill>
    <fill>
      <patternFill patternType="solid">
        <fgColor rgb="FFF0EEEC"/>
        <bgColor indexed="64"/>
      </patternFill>
    </fill>
    <fill>
      <patternFill patternType="solid">
        <fgColor theme="3"/>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theme="6"/>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indexed="51"/>
        <bgColor indexed="64"/>
      </patternFill>
    </fill>
    <fill>
      <patternFill patternType="lightUp">
        <bgColor rgb="FF003479"/>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lightDown">
        <bgColor rgb="FFFFFF99"/>
      </patternFill>
    </fill>
    <fill>
      <patternFill patternType="lightDown">
        <bgColor rgb="FFFFFFAF"/>
      </patternFill>
    </fill>
    <fill>
      <patternFill patternType="solid">
        <fgColor theme="5" tint="0.79998168889431442"/>
        <bgColor indexed="64"/>
      </patternFill>
    </fill>
    <fill>
      <patternFill patternType="solid">
        <fgColor rgb="FFCCFFFF"/>
        <bgColor indexed="64"/>
      </patternFill>
    </fill>
    <fill>
      <patternFill patternType="solid">
        <fgColor rgb="FFFFFFFF"/>
        <bgColor indexed="64"/>
      </patternFill>
    </fill>
    <fill>
      <patternFill patternType="solid">
        <fgColor rgb="FFFFFF00"/>
      </patternFill>
    </fill>
    <fill>
      <patternFill patternType="solid">
        <fgColor rgb="FFFFFFE0"/>
      </patternFill>
    </fill>
    <fill>
      <patternFill patternType="solid">
        <fgColor rgb="FFFF0000"/>
        <bgColor indexed="64"/>
      </patternFill>
    </fill>
  </fills>
  <borders count="1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857362"/>
      </left>
      <right style="thin">
        <color rgb="FF857362"/>
      </right>
      <top style="thin">
        <color rgb="FF857362"/>
      </top>
      <bottom style="thin">
        <color rgb="FF857362"/>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6">
    <xf numFmtId="0" fontId="0" fillId="0" borderId="0"/>
    <xf numFmtId="0" fontId="6" fillId="11" borderId="0" applyNumberFormat="0" applyBorder="0" applyAlignment="0" applyProtection="0"/>
    <xf numFmtId="0" fontId="8"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9" fillId="0" borderId="0" applyNumberFormat="0" applyFill="0" applyAlignment="0" applyProtection="0"/>
    <xf numFmtId="0" fontId="17" fillId="2" borderId="0" applyNumberFormat="0" applyBorder="0" applyAlignment="0" applyProtection="0"/>
    <xf numFmtId="0" fontId="13" fillId="3" borderId="0" applyNumberFormat="0" applyBorder="0" applyAlignment="0" applyProtection="0"/>
    <xf numFmtId="0" fontId="18" fillId="4" borderId="0" applyNumberFormat="0" applyBorder="0" applyAlignment="0" applyProtection="0"/>
    <xf numFmtId="0" fontId="7" fillId="6" borderId="0" applyNumberFormat="0" applyAlignment="0" applyProtection="0"/>
    <xf numFmtId="0" fontId="7" fillId="0" borderId="0" applyNumberFormat="0" applyBorder="0" applyAlignment="0" applyProtection="0"/>
    <xf numFmtId="0" fontId="7" fillId="0" borderId="0" applyNumberFormat="0" applyBorder="0" applyAlignment="0" applyProtection="0"/>
    <xf numFmtId="0" fontId="10" fillId="0" borderId="0" applyNumberFormat="0" applyBorder="0" applyAlignment="0" applyProtection="0"/>
    <xf numFmtId="164" fontId="12" fillId="9" borderId="0" applyAlignment="0" applyProtection="0"/>
    <xf numFmtId="0" fontId="11" fillId="9" borderId="0" applyNumberFormat="0" applyBorder="0" applyAlignment="0" applyProtection="0"/>
    <xf numFmtId="0" fontId="16" fillId="5" borderId="0" applyNumberFormat="0" applyFill="0" applyAlignment="0" applyProtection="0"/>
    <xf numFmtId="0" fontId="16" fillId="0" borderId="0" applyNumberFormat="0" applyBorder="0" applyAlignment="0" applyProtection="0"/>
    <xf numFmtId="0" fontId="5" fillId="0" borderId="1" applyNumberFormat="0" applyFill="0" applyAlignment="0" applyProtection="0"/>
    <xf numFmtId="0" fontId="7" fillId="7" borderId="0" applyNumberFormat="0" applyBorder="0" applyAlignment="0" applyProtection="0"/>
    <xf numFmtId="0" fontId="10" fillId="7" borderId="0" applyNumberFormat="0" applyBorder="0" applyAlignment="0" applyProtection="0"/>
    <xf numFmtId="0" fontId="7" fillId="8" borderId="0" applyNumberFormat="0" applyBorder="0" applyAlignment="0" applyProtection="0"/>
    <xf numFmtId="0" fontId="7" fillId="7" borderId="0" applyNumberFormat="0" applyFont="0" applyBorder="0" applyAlignment="0" applyProtection="0"/>
    <xf numFmtId="0" fontId="14" fillId="10" borderId="0" applyNumberFormat="0" applyAlignment="0" applyProtection="0"/>
    <xf numFmtId="0" fontId="7" fillId="13" borderId="0" applyNumberFormat="0" applyBorder="0" applyAlignment="0" applyProtection="0"/>
    <xf numFmtId="0" fontId="15" fillId="0" borderId="0" applyNumberFormat="0" applyBorder="0" applyAlignment="0" applyProtection="0"/>
    <xf numFmtId="0" fontId="11" fillId="11" borderId="0" applyNumberFormat="0" applyAlignment="0" applyProtection="0"/>
    <xf numFmtId="0" fontId="19" fillId="0" borderId="0" applyNumberFormat="0" applyFill="0" applyBorder="0" applyAlignment="0" applyProtection="0"/>
    <xf numFmtId="9" fontId="7" fillId="0" borderId="0" applyFont="0" applyFill="0" applyBorder="0" applyAlignment="0" applyProtection="0"/>
    <xf numFmtId="164" fontId="7" fillId="0" borderId="0" applyFont="0" applyFill="0" applyBorder="0" applyProtection="0">
      <alignment vertical="top"/>
    </xf>
    <xf numFmtId="164" fontId="4" fillId="0" borderId="0" applyFont="0" applyFill="0" applyBorder="0" applyProtection="0">
      <alignment vertical="top"/>
    </xf>
    <xf numFmtId="0" fontId="7" fillId="0" borderId="0"/>
    <xf numFmtId="0" fontId="22" fillId="0" borderId="0"/>
    <xf numFmtId="0" fontId="3" fillId="0" borderId="0"/>
    <xf numFmtId="168" fontId="22" fillId="0" borderId="0" applyFont="0" applyFill="0" applyBorder="0" applyProtection="0">
      <alignment vertical="top"/>
    </xf>
    <xf numFmtId="169" fontId="19" fillId="0" borderId="0" applyNumberFormat="0" applyFill="0" applyBorder="0" applyAlignment="0" applyProtection="0">
      <alignment vertical="top"/>
    </xf>
    <xf numFmtId="0" fontId="7" fillId="0" borderId="0"/>
    <xf numFmtId="0" fontId="19" fillId="0" borderId="0" applyNumberFormat="0" applyFill="0" applyBorder="0" applyAlignment="0" applyProtection="0"/>
    <xf numFmtId="164" fontId="7" fillId="0" borderId="0" applyFont="0" applyFill="0" applyBorder="0" applyProtection="0">
      <alignment vertical="top"/>
    </xf>
    <xf numFmtId="164" fontId="2" fillId="0" borderId="0" applyFont="0" applyFill="0" applyBorder="0" applyProtection="0">
      <alignment vertical="top"/>
    </xf>
    <xf numFmtId="170" fontId="22" fillId="0" borderId="0" applyFont="0" applyFill="0" applyBorder="0" applyProtection="0">
      <alignment vertical="top"/>
    </xf>
    <xf numFmtId="164" fontId="1" fillId="0" borderId="0" applyFont="0" applyFill="0" applyBorder="0" applyProtection="0">
      <alignment vertical="top"/>
    </xf>
    <xf numFmtId="0" fontId="34" fillId="0" borderId="0" applyNumberFormat="0" applyFill="0" applyBorder="0" applyProtection="0">
      <alignment vertical="top"/>
    </xf>
    <xf numFmtId="0" fontId="22" fillId="0" borderId="0" applyNumberFormat="0" applyFill="0" applyBorder="0" applyProtection="0">
      <alignment horizontal="right" vertical="top"/>
    </xf>
    <xf numFmtId="173" fontId="22" fillId="0" borderId="0" applyFont="0" applyFill="0" applyBorder="0" applyProtection="0">
      <alignment vertical="top"/>
    </xf>
    <xf numFmtId="175" fontId="7" fillId="0" borderId="0" applyFont="0" applyFill="0" applyBorder="0" applyProtection="0">
      <alignment vertical="top"/>
    </xf>
    <xf numFmtId="0" fontId="65" fillId="0" borderId="0"/>
  </cellStyleXfs>
  <cellXfs count="205">
    <xf numFmtId="0" fontId="0" fillId="0" borderId="0" xfId="0"/>
    <xf numFmtId="0" fontId="14" fillId="10" borderId="0" xfId="22"/>
    <xf numFmtId="0" fontId="11" fillId="11" borderId="0" xfId="25"/>
    <xf numFmtId="0" fontId="6" fillId="11" borderId="0" xfId="1"/>
    <xf numFmtId="0" fontId="0" fillId="12" borderId="0" xfId="0" applyFill="1"/>
    <xf numFmtId="164" fontId="26" fillId="7" borderId="3" xfId="29" applyFont="1" applyFill="1" applyBorder="1" applyAlignment="1">
      <alignment horizontal="left" vertical="center" wrapText="1"/>
    </xf>
    <xf numFmtId="164" fontId="27" fillId="14" borderId="3" xfId="29" applyFont="1" applyFill="1" applyBorder="1" applyAlignment="1">
      <alignment horizontal="left" vertical="center" wrapText="1"/>
    </xf>
    <xf numFmtId="0" fontId="20" fillId="12" borderId="0" xfId="0" applyFont="1" applyFill="1" applyAlignment="1">
      <alignment horizontal="center"/>
    </xf>
    <xf numFmtId="0" fontId="22" fillId="12" borderId="0" xfId="0" applyFont="1" applyFill="1"/>
    <xf numFmtId="0" fontId="8" fillId="12" borderId="0" xfId="2" applyFill="1"/>
    <xf numFmtId="0" fontId="20" fillId="12" borderId="0" xfId="0" applyFont="1" applyFill="1"/>
    <xf numFmtId="0" fontId="16" fillId="12" borderId="0" xfId="16" applyFill="1"/>
    <xf numFmtId="0" fontId="22" fillId="12" borderId="0" xfId="0" applyFont="1" applyFill="1" applyAlignment="1">
      <alignment horizontal="left"/>
    </xf>
    <xf numFmtId="0" fontId="22" fillId="12" borderId="0" xfId="0" applyFont="1" applyFill="1" applyAlignment="1">
      <alignment horizontal="center"/>
    </xf>
    <xf numFmtId="0" fontId="21" fillId="12" borderId="0" xfId="0" applyFont="1" applyFill="1" applyAlignment="1">
      <alignment horizontal="center"/>
    </xf>
    <xf numFmtId="0" fontId="22" fillId="12" borderId="0" xfId="16" applyFont="1" applyFill="1"/>
    <xf numFmtId="2" fontId="0" fillId="12" borderId="0" xfId="0" applyNumberFormat="1" applyFill="1"/>
    <xf numFmtId="165" fontId="0" fillId="12" borderId="0" xfId="0" applyNumberFormat="1" applyFill="1"/>
    <xf numFmtId="0" fontId="28" fillId="12" borderId="0" xfId="2" applyFont="1" applyFill="1"/>
    <xf numFmtId="0" fontId="11" fillId="15" borderId="0" xfId="25" applyFill="1"/>
    <xf numFmtId="0" fontId="29" fillId="12" borderId="0" xfId="0" applyFont="1" applyFill="1"/>
    <xf numFmtId="0" fontId="30" fillId="12" borderId="0" xfId="2" applyFont="1" applyFill="1"/>
    <xf numFmtId="0" fontId="24" fillId="12" borderId="0" xfId="0" applyFont="1" applyFill="1"/>
    <xf numFmtId="2" fontId="24" fillId="12" borderId="0" xfId="0" applyNumberFormat="1" applyFont="1" applyFill="1"/>
    <xf numFmtId="2" fontId="22" fillId="12" borderId="0" xfId="0" applyNumberFormat="1" applyFont="1" applyFill="1"/>
    <xf numFmtId="0" fontId="31" fillId="12" borderId="0" xfId="0" applyFont="1" applyFill="1"/>
    <xf numFmtId="10" fontId="24" fillId="12" borderId="0" xfId="27" applyNumberFormat="1" applyFont="1" applyFill="1"/>
    <xf numFmtId="10" fontId="22" fillId="12" borderId="0" xfId="27" applyNumberFormat="1" applyFont="1" applyFill="1"/>
    <xf numFmtId="166" fontId="22" fillId="12" borderId="0" xfId="27" applyNumberFormat="1" applyFont="1" applyFill="1"/>
    <xf numFmtId="10" fontId="0" fillId="12" borderId="0" xfId="27" applyNumberFormat="1" applyFont="1" applyFill="1"/>
    <xf numFmtId="0" fontId="25" fillId="12" borderId="0" xfId="0" applyFont="1" applyFill="1"/>
    <xf numFmtId="0" fontId="32" fillId="12" borderId="0" xfId="0" applyFont="1" applyFill="1"/>
    <xf numFmtId="10" fontId="25" fillId="12" borderId="0" xfId="27" applyNumberFormat="1" applyFont="1" applyFill="1"/>
    <xf numFmtId="0" fontId="33" fillId="12" borderId="0" xfId="0" applyFont="1" applyFill="1"/>
    <xf numFmtId="165" fontId="24" fillId="12" borderId="0" xfId="0" applyNumberFormat="1" applyFont="1" applyFill="1"/>
    <xf numFmtId="165" fontId="22" fillId="12" borderId="0" xfId="0" applyNumberFormat="1" applyFont="1" applyFill="1"/>
    <xf numFmtId="0" fontId="25" fillId="12" borderId="0" xfId="16" applyFont="1" applyFill="1"/>
    <xf numFmtId="165" fontId="25" fillId="12" borderId="0" xfId="0" applyNumberFormat="1" applyFont="1" applyFill="1"/>
    <xf numFmtId="2" fontId="25" fillId="12" borderId="0" xfId="0" applyNumberFormat="1" applyFont="1" applyFill="1"/>
    <xf numFmtId="0" fontId="0" fillId="12" borderId="0" xfId="28" applyNumberFormat="1" applyFont="1" applyFill="1" applyAlignment="1">
      <alignment vertical="top" wrapText="1"/>
    </xf>
    <xf numFmtId="0" fontId="22" fillId="0" borderId="0" xfId="0" applyFont="1" applyAlignment="1">
      <alignment vertical="top"/>
    </xf>
    <xf numFmtId="0" fontId="22" fillId="17" borderId="0" xfId="0" applyFont="1" applyFill="1" applyAlignment="1">
      <alignment horizontal="left" vertical="top"/>
    </xf>
    <xf numFmtId="0" fontId="22" fillId="18" borderId="0" xfId="0" applyFont="1" applyFill="1" applyAlignment="1">
      <alignment horizontal="left" vertical="top"/>
    </xf>
    <xf numFmtId="0" fontId="22" fillId="19" borderId="0" xfId="0" applyFont="1" applyFill="1" applyAlignment="1">
      <alignment horizontal="left" vertical="top"/>
    </xf>
    <xf numFmtId="0" fontId="22" fillId="20" borderId="0" xfId="0" applyFont="1" applyFill="1" applyAlignment="1">
      <alignment horizontal="left" vertical="top"/>
    </xf>
    <xf numFmtId="0" fontId="22" fillId="21" borderId="0" xfId="0" applyFont="1" applyFill="1" applyAlignment="1">
      <alignment horizontal="left" vertical="top"/>
    </xf>
    <xf numFmtId="0" fontId="22" fillId="22" borderId="0" xfId="0" applyFont="1" applyFill="1" applyAlignment="1">
      <alignment vertical="top"/>
    </xf>
    <xf numFmtId="0" fontId="22" fillId="17" borderId="0" xfId="0" applyFont="1" applyFill="1" applyAlignment="1">
      <alignment vertical="top"/>
    </xf>
    <xf numFmtId="0" fontId="22" fillId="18" borderId="0" xfId="0" applyFont="1" applyFill="1" applyAlignment="1">
      <alignment vertical="top"/>
    </xf>
    <xf numFmtId="0" fontId="23" fillId="18" borderId="0" xfId="0" applyFont="1" applyFill="1" applyAlignment="1">
      <alignment vertical="top"/>
    </xf>
    <xf numFmtId="0" fontId="22" fillId="19" borderId="0" xfId="0" applyFont="1" applyFill="1" applyAlignment="1">
      <alignment vertical="top"/>
    </xf>
    <xf numFmtId="0" fontId="22" fillId="20" borderId="0" xfId="0" applyFont="1" applyFill="1" applyAlignment="1">
      <alignment vertical="top"/>
    </xf>
    <xf numFmtId="0" fontId="22" fillId="23" borderId="0" xfId="0" applyFont="1" applyFill="1" applyAlignment="1">
      <alignment vertical="top"/>
    </xf>
    <xf numFmtId="0" fontId="22" fillId="21" borderId="0" xfId="0" applyFont="1" applyFill="1" applyAlignment="1">
      <alignment vertical="top"/>
    </xf>
    <xf numFmtId="0" fontId="22" fillId="24" borderId="0" xfId="0" applyFont="1" applyFill="1" applyAlignment="1">
      <alignment vertical="top"/>
    </xf>
    <xf numFmtId="0" fontId="22" fillId="25" borderId="0" xfId="0" applyFont="1" applyFill="1" applyAlignment="1">
      <alignment vertical="top"/>
    </xf>
    <xf numFmtId="0" fontId="22" fillId="26" borderId="0" xfId="0" applyFont="1" applyFill="1" applyAlignment="1">
      <alignment vertical="top"/>
    </xf>
    <xf numFmtId="0" fontId="22" fillId="27" borderId="0" xfId="0" applyFont="1" applyFill="1" applyAlignment="1">
      <alignment vertical="top"/>
    </xf>
    <xf numFmtId="0" fontId="38" fillId="28" borderId="4" xfId="0" applyFont="1" applyFill="1" applyBorder="1" applyAlignment="1">
      <alignment vertical="top"/>
    </xf>
    <xf numFmtId="0" fontId="39" fillId="28" borderId="4" xfId="0" applyFont="1" applyFill="1" applyBorder="1" applyAlignment="1">
      <alignment vertical="top"/>
    </xf>
    <xf numFmtId="0" fontId="0" fillId="0" borderId="4" xfId="0" applyBorder="1"/>
    <xf numFmtId="0" fontId="39" fillId="28" borderId="0" xfId="0" applyFont="1" applyFill="1" applyAlignment="1">
      <alignment vertical="top"/>
    </xf>
    <xf numFmtId="0" fontId="36" fillId="28" borderId="0" xfId="0" applyFont="1" applyFill="1" applyAlignment="1">
      <alignment vertical="top"/>
    </xf>
    <xf numFmtId="167" fontId="36" fillId="28" borderId="0" xfId="0" applyNumberFormat="1" applyFont="1" applyFill="1" applyAlignment="1">
      <alignment horizontal="left" vertical="top"/>
    </xf>
    <xf numFmtId="0" fontId="22" fillId="7" borderId="5"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6" xfId="0" applyFont="1" applyFill="1" applyBorder="1" applyAlignment="1">
      <alignment horizontal="center" vertical="center" wrapText="1"/>
    </xf>
    <xf numFmtId="0" fontId="41" fillId="18" borderId="2" xfId="0" applyFont="1" applyFill="1" applyBorder="1" applyAlignment="1">
      <alignment vertical="top" wrapText="1"/>
    </xf>
    <xf numFmtId="0" fontId="22" fillId="18" borderId="6" xfId="0" applyFont="1" applyFill="1" applyBorder="1" applyAlignment="1">
      <alignment vertical="top" wrapText="1"/>
    </xf>
    <xf numFmtId="0" fontId="7" fillId="0" borderId="0" xfId="35"/>
    <xf numFmtId="0" fontId="0" fillId="30" borderId="2" xfId="35" applyFont="1" applyFill="1" applyBorder="1"/>
    <xf numFmtId="0" fontId="37" fillId="16" borderId="2" xfId="35" applyFont="1" applyFill="1" applyBorder="1"/>
    <xf numFmtId="10" fontId="22" fillId="32" borderId="0" xfId="27" applyNumberFormat="1" applyFont="1" applyFill="1"/>
    <xf numFmtId="0" fontId="45" fillId="12" borderId="0" xfId="0" applyFont="1" applyFill="1"/>
    <xf numFmtId="165" fontId="45" fillId="12" borderId="0" xfId="0" applyNumberFormat="1" applyFont="1" applyFill="1"/>
    <xf numFmtId="164" fontId="7" fillId="12" borderId="0" xfId="37" applyFill="1" applyAlignment="1" applyProtection="1">
      <protection locked="0"/>
    </xf>
    <xf numFmtId="164" fontId="29" fillId="12" borderId="0" xfId="37" applyFont="1" applyFill="1" applyAlignment="1" applyProtection="1">
      <alignment horizontal="center" vertical="top"/>
      <protection locked="0"/>
    </xf>
    <xf numFmtId="164" fontId="29" fillId="12" borderId="0" xfId="37" applyFont="1" applyFill="1" applyAlignment="1" applyProtection="1">
      <alignment vertical="top" wrapText="1"/>
      <protection locked="0"/>
    </xf>
    <xf numFmtId="0" fontId="29" fillId="12" borderId="0" xfId="0" applyFont="1" applyFill="1" applyAlignment="1">
      <alignment vertical="top"/>
    </xf>
    <xf numFmtId="0" fontId="34" fillId="12" borderId="0" xfId="0" applyFont="1" applyFill="1" applyAlignment="1">
      <alignment vertical="top"/>
    </xf>
    <xf numFmtId="0" fontId="22" fillId="12" borderId="0" xfId="0" applyFont="1" applyFill="1" applyAlignment="1">
      <alignment horizontal="right" vertical="top"/>
    </xf>
    <xf numFmtId="0" fontId="22" fillId="12" borderId="0" xfId="0" applyFont="1" applyFill="1" applyAlignment="1">
      <alignment vertical="top"/>
    </xf>
    <xf numFmtId="0" fontId="22" fillId="12" borderId="0" xfId="0" applyFont="1" applyFill="1" applyAlignment="1">
      <alignment horizontal="left" vertical="top"/>
    </xf>
    <xf numFmtId="0" fontId="23" fillId="12" borderId="0" xfId="0" applyFont="1" applyFill="1" applyAlignment="1">
      <alignment vertical="top"/>
    </xf>
    <xf numFmtId="0" fontId="35" fillId="12" borderId="0" xfId="0" applyFont="1" applyFill="1" applyAlignment="1">
      <alignment vertical="top"/>
    </xf>
    <xf numFmtId="0" fontId="22" fillId="33" borderId="0" xfId="0" applyFont="1" applyFill="1" applyAlignment="1">
      <alignment vertical="top"/>
    </xf>
    <xf numFmtId="0" fontId="7" fillId="12" borderId="0" xfId="35" applyFill="1"/>
    <xf numFmtId="0" fontId="7" fillId="12" borderId="12" xfId="35" applyFill="1" applyBorder="1"/>
    <xf numFmtId="0" fontId="7" fillId="12" borderId="0" xfId="35" applyFill="1" applyAlignment="1">
      <alignment horizontal="left"/>
    </xf>
    <xf numFmtId="0" fontId="7" fillId="12" borderId="13" xfId="35" applyFill="1" applyBorder="1"/>
    <xf numFmtId="0" fontId="7" fillId="12" borderId="14" xfId="35" applyFill="1" applyBorder="1"/>
    <xf numFmtId="0" fontId="23" fillId="12" borderId="15" xfId="35" applyFont="1" applyFill="1" applyBorder="1" applyAlignment="1">
      <alignment vertical="top"/>
    </xf>
    <xf numFmtId="0" fontId="7" fillId="12" borderId="16" xfId="35" applyFill="1" applyBorder="1"/>
    <xf numFmtId="0" fontId="7" fillId="12" borderId="15" xfId="35" applyFill="1" applyBorder="1"/>
    <xf numFmtId="0" fontId="20" fillId="12" borderId="0" xfId="35" applyFont="1" applyFill="1"/>
    <xf numFmtId="0" fontId="43" fillId="12" borderId="0" xfId="35" applyFont="1" applyFill="1"/>
    <xf numFmtId="0" fontId="7" fillId="12" borderId="9" xfId="35" applyFill="1" applyBorder="1"/>
    <xf numFmtId="0" fontId="7" fillId="12" borderId="10" xfId="35" applyFill="1" applyBorder="1"/>
    <xf numFmtId="0" fontId="7" fillId="12" borderId="11" xfId="35" applyFill="1" applyBorder="1"/>
    <xf numFmtId="164" fontId="44" fillId="11" borderId="2" xfId="35" applyNumberFormat="1" applyFont="1" applyFill="1" applyBorder="1" applyAlignment="1">
      <alignment horizontal="left" vertical="center"/>
    </xf>
    <xf numFmtId="164" fontId="37" fillId="34" borderId="2" xfId="35" applyNumberFormat="1" applyFont="1" applyFill="1" applyBorder="1"/>
    <xf numFmtId="0" fontId="37" fillId="35" borderId="2" xfId="35" applyFont="1" applyFill="1" applyBorder="1"/>
    <xf numFmtId="0" fontId="7" fillId="12" borderId="0" xfId="35" applyFill="1" applyAlignment="1">
      <alignment horizontal="left" vertical="top"/>
    </xf>
    <xf numFmtId="0" fontId="7" fillId="12" borderId="0" xfId="0" applyFont="1" applyFill="1"/>
    <xf numFmtId="164" fontId="19" fillId="12" borderId="0" xfId="26" applyNumberFormat="1" applyFill="1" applyAlignment="1" applyProtection="1">
      <alignment vertical="top"/>
    </xf>
    <xf numFmtId="0" fontId="40" fillId="12" borderId="0" xfId="0" applyFont="1" applyFill="1" applyAlignment="1">
      <alignment vertical="top"/>
    </xf>
    <xf numFmtId="0" fontId="42" fillId="12" borderId="0" xfId="0" applyFont="1" applyFill="1" applyAlignment="1">
      <alignment vertical="top"/>
    </xf>
    <xf numFmtId="164" fontId="37" fillId="12" borderId="0" xfId="0" applyNumberFormat="1" applyFont="1" applyFill="1"/>
    <xf numFmtId="0" fontId="41" fillId="12" borderId="0" xfId="0" applyFont="1" applyFill="1" applyAlignment="1">
      <alignment vertical="top"/>
    </xf>
    <xf numFmtId="15" fontId="36" fillId="28" borderId="0" xfId="33" quotePrefix="1" applyNumberFormat="1" applyFont="1" applyFill="1" applyAlignment="1">
      <alignment horizontal="left" vertical="top"/>
    </xf>
    <xf numFmtId="171" fontId="7" fillId="0" borderId="0" xfId="39" applyNumberFormat="1" applyFont="1" applyFill="1">
      <alignment vertical="top"/>
    </xf>
    <xf numFmtId="172" fontId="0" fillId="0" borderId="0" xfId="0" applyNumberFormat="1"/>
    <xf numFmtId="0" fontId="47" fillId="0" borderId="0" xfId="0" applyFont="1"/>
    <xf numFmtId="0" fontId="48" fillId="0" borderId="0" xfId="0" applyFont="1"/>
    <xf numFmtId="164" fontId="47" fillId="0" borderId="0" xfId="38" applyFont="1" applyFill="1">
      <alignment vertical="top"/>
    </xf>
    <xf numFmtId="164" fontId="47" fillId="0" borderId="0" xfId="38" applyFont="1">
      <alignment vertical="top"/>
    </xf>
    <xf numFmtId="164" fontId="48" fillId="0" borderId="0" xfId="38" applyFont="1">
      <alignment vertical="top"/>
    </xf>
    <xf numFmtId="0" fontId="49" fillId="0" borderId="0" xfId="0" applyFont="1"/>
    <xf numFmtId="0" fontId="50" fillId="0" borderId="0" xfId="0" applyFont="1"/>
    <xf numFmtId="172" fontId="47" fillId="0" borderId="0" xfId="0" applyNumberFormat="1" applyFont="1"/>
    <xf numFmtId="0" fontId="22" fillId="29" borderId="2" xfId="0" applyFont="1" applyFill="1" applyBorder="1" applyAlignment="1">
      <alignment vertical="top" wrapText="1"/>
    </xf>
    <xf numFmtId="0" fontId="37" fillId="29" borderId="2" xfId="0" applyFont="1" applyFill="1" applyBorder="1" applyAlignment="1">
      <alignment vertical="top" wrapText="1"/>
    </xf>
    <xf numFmtId="0" fontId="22" fillId="0" borderId="2" xfId="0" applyFont="1" applyBorder="1" applyAlignment="1">
      <alignment vertical="top" wrapText="1"/>
    </xf>
    <xf numFmtId="0" fontId="37" fillId="0" borderId="2" xfId="0" applyFont="1" applyBorder="1" applyAlignment="1">
      <alignment vertical="top" wrapText="1"/>
    </xf>
    <xf numFmtId="0" fontId="51" fillId="15" borderId="0" xfId="40" applyNumberFormat="1" applyFont="1" applyFill="1">
      <alignment vertical="top"/>
    </xf>
    <xf numFmtId="0" fontId="52" fillId="15" borderId="0" xfId="41" applyNumberFormat="1" applyFont="1" applyFill="1">
      <alignment vertical="top"/>
    </xf>
    <xf numFmtId="0" fontId="53" fillId="15" borderId="0" xfId="42" applyNumberFormat="1" applyFont="1" applyFill="1">
      <alignment horizontal="right" vertical="top"/>
    </xf>
    <xf numFmtId="0" fontId="54" fillId="15" borderId="0" xfId="40" applyNumberFormat="1" applyFont="1" applyFill="1">
      <alignment vertical="top"/>
    </xf>
    <xf numFmtId="0" fontId="51" fillId="15" borderId="0" xfId="40" applyNumberFormat="1" applyFont="1" applyFill="1" applyAlignment="1">
      <alignment horizontal="right" vertical="center"/>
    </xf>
    <xf numFmtId="164" fontId="54" fillId="15" borderId="0" xfId="40" applyFont="1" applyFill="1">
      <alignment vertical="top"/>
    </xf>
    <xf numFmtId="164" fontId="54" fillId="12" borderId="0" xfId="40" applyFont="1" applyFill="1">
      <alignment vertical="top"/>
    </xf>
    <xf numFmtId="0" fontId="29" fillId="12" borderId="0" xfId="43" applyNumberFormat="1" applyFont="1" applyFill="1" applyBorder="1">
      <alignment vertical="top"/>
    </xf>
    <xf numFmtId="0" fontId="34" fillId="12" borderId="0" xfId="41" applyNumberFormat="1" applyFill="1" applyBorder="1">
      <alignment vertical="top"/>
    </xf>
    <xf numFmtId="0" fontId="55" fillId="12" borderId="0" xfId="41" applyNumberFormat="1" applyFont="1" applyFill="1" applyBorder="1">
      <alignment vertical="top"/>
    </xf>
    <xf numFmtId="0" fontId="22" fillId="12" borderId="0" xfId="42" applyNumberFormat="1" applyFill="1" applyBorder="1">
      <alignment horizontal="right" vertical="top"/>
    </xf>
    <xf numFmtId="0" fontId="22" fillId="12" borderId="0" xfId="43" applyNumberFormat="1" applyFont="1" applyFill="1" applyBorder="1">
      <alignment vertical="top"/>
    </xf>
    <xf numFmtId="173" fontId="22" fillId="12" borderId="0" xfId="43" applyFont="1" applyFill="1" applyBorder="1">
      <alignment vertical="top"/>
    </xf>
    <xf numFmtId="173" fontId="29" fillId="12" borderId="0" xfId="43" applyFont="1" applyFill="1" applyBorder="1">
      <alignment vertical="top"/>
    </xf>
    <xf numFmtId="0" fontId="29" fillId="12" borderId="0" xfId="40" applyNumberFormat="1" applyFont="1" applyFill="1" applyBorder="1">
      <alignment vertical="top"/>
    </xf>
    <xf numFmtId="173" fontId="22" fillId="0" borderId="0" xfId="43" applyFont="1" applyBorder="1">
      <alignment vertical="top"/>
    </xf>
    <xf numFmtId="164" fontId="29" fillId="12" borderId="0" xfId="40" applyFont="1" applyFill="1" applyBorder="1">
      <alignment vertical="top"/>
    </xf>
    <xf numFmtId="0" fontId="22" fillId="12" borderId="0" xfId="40" applyNumberFormat="1" applyFont="1" applyFill="1" applyBorder="1">
      <alignment vertical="top"/>
    </xf>
    <xf numFmtId="1" fontId="22" fillId="12" borderId="0" xfId="40" applyNumberFormat="1" applyFont="1" applyFill="1" applyBorder="1">
      <alignment vertical="top"/>
    </xf>
    <xf numFmtId="1" fontId="7" fillId="36" borderId="0" xfId="40" applyNumberFormat="1" applyFont="1" applyFill="1">
      <alignment vertical="top"/>
    </xf>
    <xf numFmtId="1" fontId="29" fillId="12" borderId="0" xfId="40" applyNumberFormat="1" applyFont="1" applyFill="1" applyBorder="1">
      <alignment vertical="top"/>
    </xf>
    <xf numFmtId="174" fontId="22" fillId="12" borderId="0" xfId="40" applyNumberFormat="1" applyFont="1" applyFill="1" applyBorder="1">
      <alignment vertical="top"/>
    </xf>
    <xf numFmtId="174" fontId="29" fillId="12" borderId="0" xfId="40" applyNumberFormat="1" applyFont="1" applyFill="1" applyBorder="1">
      <alignment vertical="top"/>
    </xf>
    <xf numFmtId="171" fontId="29" fillId="12" borderId="0" xfId="39" applyNumberFormat="1" applyFont="1" applyFill="1" applyBorder="1">
      <alignment vertical="top"/>
    </xf>
    <xf numFmtId="171" fontId="34" fillId="12" borderId="0" xfId="39" applyNumberFormat="1" applyFont="1" applyFill="1" applyBorder="1">
      <alignment vertical="top"/>
    </xf>
    <xf numFmtId="171" fontId="55" fillId="12" borderId="0" xfId="39" applyNumberFormat="1" applyFont="1" applyFill="1" applyBorder="1">
      <alignment vertical="top"/>
    </xf>
    <xf numFmtId="171" fontId="22" fillId="12" borderId="0" xfId="39" applyNumberFormat="1" applyFill="1" applyBorder="1">
      <alignment vertical="top"/>
    </xf>
    <xf numFmtId="171" fontId="22" fillId="12" borderId="0" xfId="39" applyNumberFormat="1" applyFont="1" applyFill="1" applyBorder="1">
      <alignment vertical="top"/>
    </xf>
    <xf numFmtId="171" fontId="22" fillId="0" borderId="0" xfId="39" applyNumberFormat="1" applyFont="1" applyFill="1">
      <alignment vertical="top"/>
    </xf>
    <xf numFmtId="171" fontId="29" fillId="0" borderId="0" xfId="39" applyNumberFormat="1" applyFont="1" applyFill="1">
      <alignment vertical="top"/>
    </xf>
    <xf numFmtId="175" fontId="22" fillId="0" borderId="0" xfId="44" applyFont="1" applyFill="1">
      <alignment vertical="top"/>
    </xf>
    <xf numFmtId="165" fontId="22" fillId="0" borderId="0" xfId="40" applyNumberFormat="1" applyFont="1" applyFill="1" applyAlignment="1">
      <alignment horizontal="right" vertical="top"/>
    </xf>
    <xf numFmtId="1" fontId="22" fillId="0" borderId="0" xfId="40" applyNumberFormat="1" applyFont="1" applyFill="1" applyAlignment="1">
      <alignment horizontal="right" vertical="top"/>
    </xf>
    <xf numFmtId="171" fontId="34" fillId="12" borderId="0" xfId="39" applyNumberFormat="1" applyFont="1" applyFill="1">
      <alignment vertical="top"/>
    </xf>
    <xf numFmtId="171" fontId="56" fillId="12" borderId="0" xfId="39" applyNumberFormat="1" applyFont="1" applyFill="1">
      <alignment vertical="top"/>
    </xf>
    <xf numFmtId="171" fontId="43" fillId="12" borderId="0" xfId="39" applyNumberFormat="1" applyFont="1" applyFill="1">
      <alignment vertical="top"/>
    </xf>
    <xf numFmtId="171" fontId="57" fillId="12" borderId="0" xfId="39" applyNumberFormat="1" applyFont="1" applyFill="1">
      <alignment vertical="top"/>
    </xf>
    <xf numFmtId="171" fontId="22" fillId="12" borderId="0" xfId="39" applyNumberFormat="1" applyFont="1" applyFill="1">
      <alignment vertical="top"/>
    </xf>
    <xf numFmtId="171" fontId="0" fillId="12" borderId="0" xfId="39" applyNumberFormat="1" applyFont="1" applyFill="1">
      <alignment vertical="top"/>
    </xf>
    <xf numFmtId="165" fontId="22" fillId="0" borderId="0" xfId="40" applyNumberFormat="1" applyFont="1" applyFill="1">
      <alignment vertical="top"/>
    </xf>
    <xf numFmtId="1" fontId="22" fillId="0" borderId="0" xfId="44" applyNumberFormat="1" applyFont="1" applyFill="1">
      <alignment vertical="top"/>
    </xf>
    <xf numFmtId="176" fontId="22" fillId="0" borderId="0" xfId="39" applyNumberFormat="1" applyFont="1" applyFill="1">
      <alignment vertical="top"/>
    </xf>
    <xf numFmtId="171" fontId="58" fillId="0" borderId="0" xfId="39" applyNumberFormat="1" applyFont="1" applyFill="1">
      <alignment vertical="top"/>
    </xf>
    <xf numFmtId="171" fontId="59" fillId="0" borderId="0" xfId="39" applyNumberFormat="1" applyFont="1" applyFill="1">
      <alignment vertical="top"/>
    </xf>
    <xf numFmtId="175" fontId="58" fillId="0" borderId="0" xfId="44" applyFont="1" applyFill="1">
      <alignment vertical="top"/>
    </xf>
    <xf numFmtId="165" fontId="58" fillId="0" borderId="0" xfId="40" applyNumberFormat="1" applyFont="1" applyFill="1">
      <alignment vertical="top"/>
    </xf>
    <xf numFmtId="170" fontId="58" fillId="0" borderId="0" xfId="39" applyFont="1" applyFill="1">
      <alignment vertical="top"/>
    </xf>
    <xf numFmtId="0" fontId="34" fillId="12" borderId="0" xfId="41" applyNumberFormat="1" applyFill="1">
      <alignment vertical="top"/>
    </xf>
    <xf numFmtId="0" fontId="55" fillId="12" borderId="0" xfId="41" applyNumberFormat="1" applyFont="1" applyFill="1">
      <alignment vertical="top"/>
    </xf>
    <xf numFmtId="0" fontId="22" fillId="12" borderId="0" xfId="42" applyNumberFormat="1" applyFill="1">
      <alignment horizontal="right" vertical="top"/>
    </xf>
    <xf numFmtId="0" fontId="22" fillId="12" borderId="0" xfId="40" applyNumberFormat="1" applyFont="1" applyFill="1">
      <alignment vertical="top"/>
    </xf>
    <xf numFmtId="164" fontId="22" fillId="12" borderId="0" xfId="40" applyFont="1" applyFill="1">
      <alignment vertical="top"/>
    </xf>
    <xf numFmtId="177" fontId="24" fillId="12" borderId="0" xfId="0" applyNumberFormat="1" applyFont="1" applyFill="1"/>
    <xf numFmtId="0" fontId="24" fillId="12" borderId="0" xfId="16" applyFont="1" applyFill="1"/>
    <xf numFmtId="2" fontId="24" fillId="31" borderId="0" xfId="9" applyNumberFormat="1" applyFont="1" applyFill="1"/>
    <xf numFmtId="0" fontId="24" fillId="12" borderId="0" xfId="0" applyFont="1" applyFill="1" applyAlignment="1">
      <alignment horizontal="left"/>
    </xf>
    <xf numFmtId="178" fontId="22" fillId="0" borderId="0" xfId="39" applyNumberFormat="1" applyFont="1" applyFill="1">
      <alignment vertical="top"/>
    </xf>
    <xf numFmtId="178" fontId="29" fillId="0" borderId="0" xfId="39" applyNumberFormat="1" applyFont="1" applyFill="1">
      <alignment vertical="top"/>
    </xf>
    <xf numFmtId="178" fontId="22" fillId="0" borderId="0" xfId="44" applyNumberFormat="1" applyFont="1" applyFill="1">
      <alignment vertical="top"/>
    </xf>
    <xf numFmtId="178" fontId="22" fillId="0" borderId="0" xfId="40" applyNumberFormat="1" applyFont="1" applyFill="1">
      <alignment vertical="top"/>
    </xf>
    <xf numFmtId="178" fontId="22" fillId="32" borderId="0" xfId="39" applyNumberFormat="1" applyFont="1" applyFill="1">
      <alignment vertical="top"/>
    </xf>
    <xf numFmtId="178" fontId="22" fillId="31" borderId="0" xfId="39" applyNumberFormat="1" applyFont="1" applyFill="1">
      <alignment vertical="top"/>
    </xf>
    <xf numFmtId="164" fontId="47" fillId="0" borderId="0" xfId="38" quotePrefix="1" applyFont="1">
      <alignment vertical="top"/>
    </xf>
    <xf numFmtId="10" fontId="22" fillId="22" borderId="0" xfId="27" applyNumberFormat="1" applyFont="1" applyFill="1"/>
    <xf numFmtId="0" fontId="60" fillId="28" borderId="0" xfId="26" applyFont="1" applyFill="1" applyAlignment="1">
      <alignment vertical="top"/>
    </xf>
    <xf numFmtId="0" fontId="61" fillId="0" borderId="0" xfId="0" applyFont="1"/>
    <xf numFmtId="0" fontId="62" fillId="0" borderId="0" xfId="0" applyFont="1"/>
    <xf numFmtId="0" fontId="63" fillId="0" borderId="0" xfId="0" applyFont="1"/>
    <xf numFmtId="0" fontId="64" fillId="0" borderId="0" xfId="0" applyFont="1"/>
    <xf numFmtId="0" fontId="63" fillId="0" borderId="0" xfId="0" applyFont="1" applyAlignment="1">
      <alignment horizontal="left"/>
    </xf>
    <xf numFmtId="10" fontId="22" fillId="0" borderId="0" xfId="27" applyNumberFormat="1" applyFont="1" applyFill="1"/>
    <xf numFmtId="0" fontId="66" fillId="37" borderId="0" xfId="0" applyFont="1" applyFill="1"/>
    <xf numFmtId="0" fontId="0" fillId="38" borderId="0" xfId="0" applyFill="1"/>
    <xf numFmtId="4" fontId="0" fillId="38" borderId="0" xfId="0" applyNumberFormat="1" applyFill="1"/>
    <xf numFmtId="179" fontId="0" fillId="38" borderId="0" xfId="0" applyNumberFormat="1" applyFill="1"/>
    <xf numFmtId="172" fontId="0" fillId="38" borderId="0" xfId="0" applyNumberFormat="1" applyFill="1"/>
    <xf numFmtId="0" fontId="47" fillId="39" borderId="0" xfId="0" applyFont="1" applyFill="1"/>
    <xf numFmtId="0" fontId="0" fillId="39" borderId="0" xfId="0" applyFill="1"/>
    <xf numFmtId="0" fontId="41" fillId="18" borderId="7" xfId="0" applyFont="1" applyFill="1" applyBorder="1" applyAlignment="1">
      <alignment vertical="top" wrapText="1"/>
    </xf>
    <xf numFmtId="0" fontId="41" fillId="18" borderId="8" xfId="0" applyFont="1" applyFill="1" applyBorder="1" applyAlignment="1">
      <alignment vertical="top" wrapText="1"/>
    </xf>
  </cellXfs>
  <cellStyles count="46">
    <cellStyle name="Bad" xfId="7" builtinId="27" customBuiltin="1"/>
    <cellStyle name="Between-worksheet counter-flow" xfId="19" xr:uid="{00000000-0005-0000-0000-000001000000}"/>
    <cellStyle name="Calculation" xfId="11" builtinId="22" customBuiltin="1"/>
    <cellStyle name="Check Cell" xfId="13" builtinId="23" customBuiltin="1"/>
    <cellStyle name="Column 2 + 3" xfId="41" xr:uid="{DC45DC25-08FA-49FA-B9AD-3086534B9764}"/>
    <cellStyle name="Column 4" xfId="42" xr:uid="{349E6644-F302-4A90-9518-F98ED5AC0AB7}"/>
    <cellStyle name="DateLong" xfId="33" xr:uid="{00000000-0005-0000-0000-000004000000}"/>
    <cellStyle name="DateShort" xfId="43" xr:uid="{56D338CB-AD61-4E4A-8193-88CA62CAF4BE}"/>
    <cellStyle name="Empty cell" xfId="21" xr:uid="{00000000-0005-0000-0000-000005000000}"/>
    <cellStyle name="End of sheet" xfId="25" xr:uid="{00000000-0005-0000-0000-000006000000}"/>
    <cellStyle name="Explanatory Text" xfId="16" builtinId="53" customBuiltin="1"/>
    <cellStyle name="Exported to another sheet or section" xfId="24" xr:uid="{00000000-0005-0000-0000-000008000000}"/>
    <cellStyle name="Factor" xfId="39" xr:uid="{78A673B0-286F-4178-9CAE-5692FE5CA11D}"/>
    <cellStyle name="Good" xfId="6" builtinId="26" customBuiltin="1"/>
    <cellStyle name="Hard coded output" xfId="20" xr:uid="{00000000-0005-0000-0000-00000A000000}"/>
    <cellStyle name="Heading 1" xfId="2" builtinId="16" customBuiltin="1"/>
    <cellStyle name="Heading 2" xfId="3" builtinId="17" customBuiltin="1"/>
    <cellStyle name="Heading 3" xfId="4" builtinId="18" customBuiltin="1"/>
    <cellStyle name="Heading 4" xfId="5" builtinId="19" customBuiltin="1"/>
    <cellStyle name="Hyperlink" xfId="26" builtinId="8"/>
    <cellStyle name="Hyperlink 2" xfId="34" xr:uid="{00000000-0005-0000-0000-000010000000}"/>
    <cellStyle name="Hyperlink 3" xfId="36" xr:uid="{00000000-0005-0000-0000-000011000000}"/>
    <cellStyle name="Input" xfId="9" builtinId="20" customBuiltin="1"/>
    <cellStyle name="Linked Cell" xfId="12" builtinId="24" customBuiltin="1"/>
    <cellStyle name="Neutral" xfId="8" builtinId="28" customBuiltin="1"/>
    <cellStyle name="Normal" xfId="0" builtinId="0" customBuiltin="1"/>
    <cellStyle name="Normal 2" xfId="28" xr:uid="{00000000-0005-0000-0000-000016000000}"/>
    <cellStyle name="Normal 2 2" xfId="31" xr:uid="{00000000-0005-0000-0000-000017000000}"/>
    <cellStyle name="Normal 2 2 2" xfId="37" xr:uid="{00000000-0005-0000-0000-000018000000}"/>
    <cellStyle name="Normal 2 3" xfId="45" xr:uid="{27682039-35A9-41F2-ADA0-06E38A643951}"/>
    <cellStyle name="Normal 2 5" xfId="38" xr:uid="{8920F793-B250-4150-A19C-AB3BDDC1A526}"/>
    <cellStyle name="Normal 3" xfId="30" xr:uid="{00000000-0005-0000-0000-000019000000}"/>
    <cellStyle name="Normal 4" xfId="29" xr:uid="{00000000-0005-0000-0000-00001A000000}"/>
    <cellStyle name="Normal 5" xfId="40" xr:uid="{6C930821-9D78-4779-96B7-E30E524957DE}"/>
    <cellStyle name="Normal 6" xfId="32" xr:uid="{00000000-0005-0000-0000-00001B000000}"/>
    <cellStyle name="Normal 9" xfId="35" xr:uid="{00000000-0005-0000-0000-00001C000000}"/>
    <cellStyle name="Note" xfId="15" builtinId="10" hidden="1" customBuiltin="1"/>
    <cellStyle name="Output" xfId="10" builtinId="21" customBuiltin="1"/>
    <cellStyle name="Percent" xfId="27" builtinId="5"/>
    <cellStyle name="Percent 2" xfId="44" xr:uid="{C4B96ABF-4B24-47FA-B9D9-5C0C86449B6A}"/>
    <cellStyle name="Section separator" xfId="22" xr:uid="{00000000-0005-0000-0000-000020000000}"/>
    <cellStyle name="Title" xfId="1" builtinId="15" customBuiltin="1"/>
    <cellStyle name="To be reviewed or discussed" xfId="23" xr:uid="{00000000-0005-0000-0000-000022000000}"/>
    <cellStyle name="Total" xfId="17" builtinId="25" hidden="1"/>
    <cellStyle name="Warning Text" xfId="14" builtinId="11" customBuiltin="1"/>
    <cellStyle name="Within-worksheet counter-flow" xfId="18" xr:uid="{00000000-0005-0000-0000-000025000000}"/>
  </cellStyles>
  <dxfs count="3">
    <dxf>
      <fill>
        <patternFill>
          <bgColor rgb="FFFFCC9A"/>
        </patternFill>
      </fill>
    </dxf>
    <dxf>
      <fill>
        <patternFill>
          <bgColor rgb="FF99CCFF"/>
        </patternFill>
      </fill>
    </dxf>
    <dxf>
      <fill>
        <patternFill>
          <bgColor rgb="FF969696"/>
        </patternFill>
      </fill>
    </dxf>
  </dxfs>
  <tableStyles count="0" defaultTableStyle="TableStyleMedium2" defaultPivotStyle="PivotStyleLight16"/>
  <colors>
    <mruColors>
      <color rgb="FFCCFFFF"/>
      <color rgb="FFFFFF99"/>
      <color rgb="FF003479"/>
      <color rgb="FFFFFF00"/>
      <color rgb="FFFCEABF"/>
      <color rgb="FF0078C9"/>
      <color rgb="FFE0DCD8"/>
      <color rgb="FFD740A2"/>
      <color rgb="FFCC0099"/>
      <color rgb="FF95B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4680470</xdr:colOff>
      <xdr:row>1</xdr:row>
      <xdr:rowOff>34925</xdr:rowOff>
    </xdr:from>
    <xdr:to>
      <xdr:col>6</xdr:col>
      <xdr:colOff>66675</xdr:colOff>
      <xdr:row>4</xdr:row>
      <xdr:rowOff>9525</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2145" y="425450"/>
          <a:ext cx="1053580" cy="631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7</xdr:row>
      <xdr:rowOff>9525</xdr:rowOff>
    </xdr:from>
    <xdr:to>
      <xdr:col>8</xdr:col>
      <xdr:colOff>402166</xdr:colOff>
      <xdr:row>8</xdr:row>
      <xdr:rowOff>2381</xdr:rowOff>
    </xdr:to>
    <xdr:sp macro="" textlink="">
      <xdr:nvSpPr>
        <xdr:cNvPr id="2" name="AutoShape 38">
          <a:extLst>
            <a:ext uri="{FF2B5EF4-FFF2-40B4-BE49-F238E27FC236}">
              <a16:creationId xmlns:a16="http://schemas.microsoft.com/office/drawing/2014/main" id="{35415EC3-9FBF-4205-B22F-D8F473BC4E42}"/>
            </a:ext>
          </a:extLst>
        </xdr:cNvPr>
        <xdr:cNvSpPr>
          <a:spLocks noChangeArrowheads="1"/>
        </xdr:cNvSpPr>
      </xdr:nvSpPr>
      <xdr:spPr bwMode="auto">
        <a:xfrm rot="10800000">
          <a:off x="4324350" y="1314450"/>
          <a:ext cx="306916" cy="154781"/>
        </a:xfrm>
        <a:prstGeom prst="leftArrow">
          <a:avLst>
            <a:gd name="adj1" fmla="val 50000"/>
            <a:gd name="adj2" fmla="val 50000"/>
          </a:avLst>
        </a:prstGeom>
        <a:solidFill>
          <a:srgbClr val="CCFFCC"/>
        </a:solidFill>
        <a:ln w="15875">
          <a:solidFill>
            <a:srgbClr val="008000"/>
          </a:solidFill>
          <a:miter lim="800000"/>
          <a:headEnd/>
          <a:tailEnd/>
        </a:ln>
      </xdr:spPr>
    </xdr:sp>
    <xdr:clientData/>
  </xdr:twoCellAnchor>
  <xdr:twoCellAnchor>
    <xdr:from>
      <xdr:col>12</xdr:col>
      <xdr:colOff>76200</xdr:colOff>
      <xdr:row>7</xdr:row>
      <xdr:rowOff>9525</xdr:rowOff>
    </xdr:from>
    <xdr:to>
      <xdr:col>12</xdr:col>
      <xdr:colOff>383116</xdr:colOff>
      <xdr:row>8</xdr:row>
      <xdr:rowOff>2381</xdr:rowOff>
    </xdr:to>
    <xdr:sp macro="" textlink="">
      <xdr:nvSpPr>
        <xdr:cNvPr id="3" name="AutoShape 38">
          <a:extLst>
            <a:ext uri="{FF2B5EF4-FFF2-40B4-BE49-F238E27FC236}">
              <a16:creationId xmlns:a16="http://schemas.microsoft.com/office/drawing/2014/main" id="{BC019E1F-68D9-4DAA-B2EB-A11B4F0EE6F0}"/>
            </a:ext>
          </a:extLst>
        </xdr:cNvPr>
        <xdr:cNvSpPr>
          <a:spLocks noChangeArrowheads="1"/>
        </xdr:cNvSpPr>
      </xdr:nvSpPr>
      <xdr:spPr bwMode="auto">
        <a:xfrm rot="10800000">
          <a:off x="7343775" y="1314450"/>
          <a:ext cx="306916" cy="154781"/>
        </a:xfrm>
        <a:prstGeom prst="leftArrow">
          <a:avLst>
            <a:gd name="adj1" fmla="val 50000"/>
            <a:gd name="adj2" fmla="val 50000"/>
          </a:avLst>
        </a:prstGeom>
        <a:solidFill>
          <a:srgbClr val="CCFFCC"/>
        </a:solidFill>
        <a:ln w="15875">
          <a:solidFill>
            <a:srgbClr val="008000"/>
          </a:solidFill>
          <a:miter lim="800000"/>
          <a:headEnd/>
          <a:tailEnd/>
        </a:ln>
      </xdr:spPr>
    </xdr:sp>
    <xdr:clientData/>
  </xdr:twoCellAnchor>
</xdr:wsDr>
</file>

<file path=xl/theme/theme1.xml><?xml version="1.0" encoding="utf-8"?>
<a:theme xmlns:a="http://schemas.openxmlformats.org/drawingml/2006/main" name="Ofwat 2016">
  <a:themeElements>
    <a:clrScheme name="Ofwat 2015">
      <a:dk1>
        <a:sysClr val="windowText" lastClr="000000"/>
      </a:dk1>
      <a:lt1>
        <a:sysClr val="window" lastClr="FFFFFF"/>
      </a:lt1>
      <a:dk2>
        <a:srgbClr val="003479"/>
      </a:dk2>
      <a:lt2>
        <a:srgbClr val="FFFFFF"/>
      </a:lt2>
      <a:accent1>
        <a:srgbClr val="0078C9"/>
      </a:accent1>
      <a:accent2>
        <a:srgbClr val="857362"/>
      </a:accent2>
      <a:accent3>
        <a:srgbClr val="F4AA00"/>
      </a:accent3>
      <a:accent4>
        <a:srgbClr val="709500"/>
      </a:accent4>
      <a:accent5>
        <a:srgbClr val="CA0083"/>
      </a:accent5>
      <a:accent6>
        <a:srgbClr val="FE4819"/>
      </a:accent6>
      <a:hlink>
        <a:srgbClr val="0078C9"/>
      </a:hlink>
      <a:folHlink>
        <a:srgbClr val="CA0083"/>
      </a:folHlink>
    </a:clrScheme>
    <a:fontScheme name="Ofwat 2015">
      <a:majorFont>
        <a:latin typeface="Franklin Gothic Demi"/>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wat 2016" id="{A420DE61-A4E8-4DB5-890E-1E2F09860D19}" vid="{7B41E948-0C9A-4054-BED8-27FCA73304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24@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2DDE3-E60C-4132-AFBE-259AEEF27A5A}">
  <sheetPr>
    <tabColor theme="3"/>
    <pageSetUpPr fitToPage="1"/>
  </sheetPr>
  <dimension ref="A1:M72"/>
  <sheetViews>
    <sheetView tabSelected="1" topLeftCell="A15" zoomScale="80" zoomScaleNormal="80" workbookViewId="0"/>
  </sheetViews>
  <sheetFormatPr defaultColWidth="0" defaultRowHeight="14.25" customHeight="1" zeroHeight="1" x14ac:dyDescent="0.2"/>
  <cols>
    <col min="1" max="1" width="10.28515625" style="4" customWidth="1"/>
    <col min="2" max="2" width="29.5703125" style="4" customWidth="1"/>
    <col min="3" max="3" width="20" style="4" customWidth="1"/>
    <col min="4" max="4" width="26.85546875" style="4" customWidth="1"/>
    <col min="5" max="5" width="73" style="4" customWidth="1"/>
    <col min="6" max="6" width="12" style="4" bestFit="1" customWidth="1"/>
    <col min="7" max="7" width="10.28515625" style="4" customWidth="1"/>
    <col min="8" max="8" width="5.140625" style="4" customWidth="1"/>
    <col min="9" max="9" width="31.7109375" style="4" customWidth="1"/>
    <col min="10" max="13" width="0" style="4" hidden="1" customWidth="1"/>
    <col min="14" max="16384" width="10.28515625" style="4" hidden="1"/>
  </cols>
  <sheetData>
    <row r="1" spans="1:9" s="60" customFormat="1" ht="30.75" thickBot="1" x14ac:dyDescent="0.25">
      <c r="A1" s="58" t="str">
        <f ca="1" xml:space="preserve"> RIGHT(CELL("filename", $A$1), LEN(CELL("filename", $A$1)) - SEARCH("]", CELL("filename", $A$1)))</f>
        <v>Cover</v>
      </c>
      <c r="B1" s="58"/>
      <c r="C1" s="59"/>
      <c r="D1" s="58"/>
      <c r="E1" s="58"/>
      <c r="F1" s="58"/>
      <c r="G1" s="58"/>
      <c r="H1" s="59"/>
      <c r="I1" s="59"/>
    </row>
    <row r="2" spans="1:9" customFormat="1" ht="17.25" thickTop="1" x14ac:dyDescent="0.2">
      <c r="A2" s="61"/>
      <c r="B2" s="61"/>
      <c r="C2" s="61"/>
      <c r="D2" s="61"/>
      <c r="E2" s="61"/>
      <c r="F2" s="61"/>
      <c r="G2" s="61"/>
      <c r="H2" s="61"/>
      <c r="I2" s="61"/>
    </row>
    <row r="3" spans="1:9" customFormat="1" ht="16.5" x14ac:dyDescent="0.2">
      <c r="A3" s="61"/>
      <c r="B3" s="62" t="s">
        <v>0</v>
      </c>
      <c r="C3" s="62" t="s">
        <v>1</v>
      </c>
      <c r="D3" s="61"/>
      <c r="E3" s="61"/>
      <c r="F3" s="61"/>
      <c r="G3" s="61"/>
      <c r="H3" s="61"/>
      <c r="I3" s="61"/>
    </row>
    <row r="4" spans="1:9" customFormat="1" ht="16.5" x14ac:dyDescent="0.2">
      <c r="A4" s="61"/>
      <c r="B4" s="62" t="s">
        <v>2</v>
      </c>
      <c r="C4" s="62" t="s">
        <v>3</v>
      </c>
      <c r="D4" s="61"/>
      <c r="E4" s="61"/>
      <c r="F4" s="61"/>
      <c r="G4" s="61"/>
      <c r="H4" s="61"/>
      <c r="I4" s="61"/>
    </row>
    <row r="5" spans="1:9" customFormat="1" ht="16.5" x14ac:dyDescent="0.2">
      <c r="A5" s="61"/>
      <c r="B5" s="62" t="s">
        <v>4</v>
      </c>
      <c r="C5" s="63">
        <v>1.5</v>
      </c>
      <c r="D5" s="61"/>
      <c r="E5" s="61"/>
      <c r="F5" s="61"/>
      <c r="G5" s="61"/>
      <c r="H5" s="61"/>
      <c r="I5" s="61"/>
    </row>
    <row r="6" spans="1:9" customFormat="1" ht="16.5" x14ac:dyDescent="0.2">
      <c r="A6" s="61"/>
      <c r="B6" s="62" t="s">
        <v>5</v>
      </c>
      <c r="C6" s="62" t="s">
        <v>6</v>
      </c>
      <c r="D6" s="61"/>
      <c r="E6" s="61"/>
      <c r="F6" s="61"/>
      <c r="G6" s="61"/>
      <c r="H6" s="61"/>
      <c r="I6" s="61"/>
    </row>
    <row r="7" spans="1:9" customFormat="1" ht="16.5" x14ac:dyDescent="0.2">
      <c r="A7" s="61"/>
      <c r="B7" s="62" t="s">
        <v>7</v>
      </c>
      <c r="C7" s="110">
        <v>45629</v>
      </c>
      <c r="D7" s="61"/>
      <c r="E7" s="61"/>
      <c r="F7" s="61"/>
      <c r="G7" s="61"/>
      <c r="H7" s="61"/>
      <c r="I7" s="61"/>
    </row>
    <row r="8" spans="1:9" customFormat="1" ht="16.5" x14ac:dyDescent="0.2">
      <c r="A8" s="61"/>
      <c r="B8" s="62" t="s">
        <v>8</v>
      </c>
      <c r="C8" s="62" t="s">
        <v>9</v>
      </c>
      <c r="D8" s="61"/>
      <c r="E8" s="61"/>
      <c r="F8" s="61"/>
      <c r="G8" s="61"/>
      <c r="H8" s="61"/>
      <c r="I8" s="61"/>
    </row>
    <row r="9" spans="1:9" customFormat="1" ht="16.5" x14ac:dyDescent="0.2">
      <c r="A9" s="61"/>
      <c r="B9" s="62" t="s">
        <v>10</v>
      </c>
      <c r="C9" s="189" t="s">
        <v>11</v>
      </c>
      <c r="D9" s="61"/>
      <c r="E9" s="61"/>
      <c r="F9" s="61"/>
      <c r="G9" s="61"/>
      <c r="H9" s="61"/>
      <c r="I9" s="61"/>
    </row>
    <row r="10" spans="1:9" customFormat="1" ht="16.5" x14ac:dyDescent="0.2">
      <c r="A10" s="61"/>
      <c r="B10" s="61"/>
      <c r="C10" s="61"/>
      <c r="D10" s="61"/>
      <c r="E10" s="61"/>
      <c r="F10" s="61"/>
      <c r="G10" s="61"/>
      <c r="H10" s="61"/>
      <c r="I10" s="61"/>
    </row>
    <row r="11" spans="1:9" ht="12.75" x14ac:dyDescent="0.2">
      <c r="A11" s="104"/>
      <c r="B11" s="104"/>
      <c r="C11" s="105"/>
      <c r="D11" s="104"/>
      <c r="E11" s="104"/>
      <c r="F11" s="104"/>
      <c r="G11" s="104"/>
      <c r="H11" s="104"/>
      <c r="I11" s="104"/>
    </row>
    <row r="12" spans="1:9" ht="12.75" x14ac:dyDescent="0.2">
      <c r="A12" s="104"/>
      <c r="B12" s="104" t="s">
        <v>12</v>
      </c>
      <c r="C12" s="104" t="s">
        <v>13</v>
      </c>
      <c r="D12" s="104"/>
      <c r="E12" s="104"/>
      <c r="F12" s="104"/>
      <c r="G12" s="104"/>
      <c r="H12" s="104"/>
      <c r="I12" s="104"/>
    </row>
    <row r="13" spans="1:9" ht="12.75" x14ac:dyDescent="0.2">
      <c r="A13" s="104"/>
      <c r="B13" s="104"/>
      <c r="C13" s="104" t="s">
        <v>14</v>
      </c>
      <c r="D13" s="104"/>
      <c r="E13" s="104"/>
      <c r="F13" s="104"/>
      <c r="G13" s="104"/>
      <c r="H13" s="104"/>
      <c r="I13" s="104"/>
    </row>
    <row r="14" spans="1:9" ht="12.75" x14ac:dyDescent="0.2">
      <c r="A14" s="104"/>
      <c r="B14" s="104"/>
      <c r="C14" s="104"/>
      <c r="D14" s="104"/>
      <c r="E14" s="104"/>
      <c r="F14" s="104"/>
      <c r="G14" s="104"/>
      <c r="H14" s="104"/>
      <c r="I14" s="104"/>
    </row>
    <row r="15" spans="1:9" ht="12.75" x14ac:dyDescent="0.2">
      <c r="A15" s="104"/>
      <c r="B15" s="104"/>
      <c r="C15" s="104"/>
      <c r="D15" s="104"/>
      <c r="E15" s="104"/>
      <c r="F15" s="104"/>
      <c r="G15" s="104"/>
      <c r="H15" s="104"/>
      <c r="I15" s="104"/>
    </row>
    <row r="16" spans="1:9" ht="12.75" x14ac:dyDescent="0.2">
      <c r="A16" s="104"/>
      <c r="B16" s="104"/>
      <c r="C16" s="104"/>
      <c r="D16" s="104"/>
      <c r="E16" s="104"/>
      <c r="F16" s="104"/>
      <c r="G16" s="104"/>
      <c r="H16" s="104"/>
      <c r="I16" s="104"/>
    </row>
    <row r="17" spans="1:9" ht="12.75" x14ac:dyDescent="0.2">
      <c r="A17" s="104"/>
      <c r="B17" s="104" t="s">
        <v>15</v>
      </c>
      <c r="C17" s="104" t="s">
        <v>16</v>
      </c>
      <c r="D17" s="104"/>
      <c r="E17" s="104"/>
      <c r="F17" s="104"/>
      <c r="G17" s="104"/>
      <c r="H17" s="104"/>
      <c r="I17" s="104"/>
    </row>
    <row r="18" spans="1:9" ht="12.75" x14ac:dyDescent="0.2">
      <c r="A18" s="104"/>
      <c r="C18" s="4" t="s">
        <v>17</v>
      </c>
      <c r="D18" s="104"/>
      <c r="E18" s="104"/>
      <c r="F18" s="104"/>
      <c r="G18" s="104"/>
      <c r="H18" s="104"/>
      <c r="I18" s="104"/>
    </row>
    <row r="19" spans="1:9" ht="12.75" x14ac:dyDescent="0.2">
      <c r="A19" s="104"/>
      <c r="B19" s="104"/>
      <c r="C19" s="104"/>
      <c r="D19" s="104"/>
      <c r="E19" s="104"/>
      <c r="F19" s="104"/>
      <c r="G19" s="104"/>
      <c r="H19" s="104"/>
      <c r="I19" s="104"/>
    </row>
    <row r="20" spans="1:9" ht="16.5" x14ac:dyDescent="0.2">
      <c r="A20" s="104"/>
      <c r="B20" s="104" t="s">
        <v>18</v>
      </c>
      <c r="C20" s="4" t="s">
        <v>19</v>
      </c>
      <c r="D20" s="106"/>
      <c r="E20" s="106"/>
      <c r="F20" s="106"/>
      <c r="G20" s="104"/>
      <c r="H20" s="104"/>
      <c r="I20" s="104"/>
    </row>
    <row r="21" spans="1:9" ht="16.5" x14ac:dyDescent="0.2">
      <c r="A21" s="104"/>
      <c r="B21" s="104"/>
      <c r="C21" s="106"/>
      <c r="D21" s="106"/>
      <c r="E21" s="106"/>
      <c r="F21" s="106"/>
      <c r="G21" s="104"/>
      <c r="H21" s="104"/>
      <c r="I21" s="104"/>
    </row>
    <row r="22" spans="1:9" customFormat="1" ht="12.75" x14ac:dyDescent="0.2">
      <c r="A22" s="104"/>
      <c r="B22" s="104"/>
      <c r="C22" s="64" t="s">
        <v>20</v>
      </c>
      <c r="D22" s="65"/>
      <c r="E22" s="66" t="s">
        <v>21</v>
      </c>
      <c r="F22" s="67" t="s">
        <v>22</v>
      </c>
      <c r="G22" s="104"/>
      <c r="H22" s="104"/>
      <c r="I22" s="104"/>
    </row>
    <row r="23" spans="1:9" customFormat="1" ht="12.75" x14ac:dyDescent="0.2">
      <c r="A23" s="104"/>
      <c r="B23" s="104"/>
      <c r="C23" s="203" t="s">
        <v>23</v>
      </c>
      <c r="D23" s="204"/>
      <c r="E23" s="68" t="s">
        <v>23</v>
      </c>
      <c r="F23" s="69"/>
      <c r="G23" s="104"/>
      <c r="H23" s="104"/>
      <c r="I23" s="104"/>
    </row>
    <row r="24" spans="1:9" ht="12.75" x14ac:dyDescent="0.2">
      <c r="A24" s="104"/>
      <c r="B24" s="104"/>
      <c r="C24" s="104"/>
      <c r="D24" s="104"/>
      <c r="E24" s="104"/>
      <c r="F24" s="104"/>
      <c r="G24" s="104"/>
      <c r="H24" s="104"/>
      <c r="I24" s="104"/>
    </row>
    <row r="25" spans="1:9" ht="12.75" x14ac:dyDescent="0.2">
      <c r="A25" s="104"/>
      <c r="B25" s="104"/>
      <c r="C25" s="104"/>
      <c r="D25" s="104"/>
      <c r="E25" s="104"/>
      <c r="F25" s="104"/>
      <c r="G25" s="104"/>
      <c r="H25" s="104"/>
      <c r="I25" s="104"/>
    </row>
    <row r="26" spans="1:9" ht="12.75" customHeight="1" x14ac:dyDescent="0.2">
      <c r="B26" s="104" t="s">
        <v>24</v>
      </c>
      <c r="C26" s="109" t="s">
        <v>25</v>
      </c>
      <c r="D26" s="106"/>
      <c r="E26" s="106"/>
      <c r="F26" s="106"/>
    </row>
    <row r="27" spans="1:9" ht="16.5" x14ac:dyDescent="0.2">
      <c r="B27" s="107"/>
      <c r="C27" s="106"/>
      <c r="D27" s="106"/>
      <c r="E27" s="106"/>
      <c r="F27" s="106"/>
    </row>
    <row r="28" spans="1:9" customFormat="1" ht="16.5" x14ac:dyDescent="0.2">
      <c r="A28" s="4"/>
      <c r="B28" s="107"/>
      <c r="C28" s="64" t="s">
        <v>26</v>
      </c>
      <c r="D28" s="66" t="s">
        <v>27</v>
      </c>
      <c r="E28" s="66" t="s">
        <v>28</v>
      </c>
      <c r="F28" s="67" t="s">
        <v>29</v>
      </c>
      <c r="G28" s="4"/>
      <c r="H28" s="4"/>
      <c r="I28" s="4"/>
    </row>
    <row r="29" spans="1:9" customFormat="1" ht="16.5" x14ac:dyDescent="0.2">
      <c r="A29" s="4"/>
      <c r="B29" s="107"/>
      <c r="C29" s="121" t="s">
        <v>30</v>
      </c>
      <c r="D29" s="121" t="s">
        <v>31</v>
      </c>
      <c r="E29" s="121" t="s">
        <v>32</v>
      </c>
      <c r="F29" s="122"/>
      <c r="G29" s="4"/>
      <c r="H29" s="4"/>
      <c r="I29" s="4"/>
    </row>
    <row r="30" spans="1:9" ht="12.75" x14ac:dyDescent="0.2">
      <c r="B30" s="104"/>
      <c r="C30" s="123"/>
      <c r="D30" s="123" t="s">
        <v>31</v>
      </c>
      <c r="E30" s="123" t="s">
        <v>33</v>
      </c>
      <c r="F30" s="124"/>
    </row>
    <row r="31" spans="1:9" customFormat="1" ht="51" x14ac:dyDescent="0.2">
      <c r="A31" s="4"/>
      <c r="B31" s="107"/>
      <c r="C31" s="121" t="s">
        <v>34</v>
      </c>
      <c r="D31" s="121" t="s">
        <v>35</v>
      </c>
      <c r="E31" s="121" t="s">
        <v>36</v>
      </c>
      <c r="F31" s="122"/>
      <c r="G31" s="4"/>
      <c r="H31" s="4"/>
      <c r="I31" s="4"/>
    </row>
    <row r="32" spans="1:9" ht="16.5" x14ac:dyDescent="0.2">
      <c r="B32" s="107"/>
      <c r="C32" s="121" t="s">
        <v>30</v>
      </c>
      <c r="D32" s="121" t="s">
        <v>37</v>
      </c>
      <c r="E32" s="121" t="s">
        <v>38</v>
      </c>
      <c r="F32" s="122"/>
    </row>
    <row r="33" spans="1:4" ht="12.75" x14ac:dyDescent="0.2"/>
    <row r="34" spans="1:4" ht="12.75" x14ac:dyDescent="0.2">
      <c r="B34" s="104" t="s">
        <v>39</v>
      </c>
      <c r="C34" s="4" t="s">
        <v>40</v>
      </c>
      <c r="D34" s="104"/>
    </row>
    <row r="35" spans="1:4" ht="12.75" x14ac:dyDescent="0.2">
      <c r="B35" s="104"/>
      <c r="C35" s="104"/>
      <c r="D35" s="108"/>
    </row>
    <row r="36" spans="1:4" ht="12.75" x14ac:dyDescent="0.2">
      <c r="C36" s="4" t="s">
        <v>41</v>
      </c>
    </row>
    <row r="37" spans="1:4" ht="12.75" x14ac:dyDescent="0.2"/>
    <row r="38" spans="1:4" s="19" customFormat="1" ht="13.5" x14ac:dyDescent="0.25">
      <c r="A38" s="19" t="s">
        <v>42</v>
      </c>
    </row>
    <row r="39" spans="1:4" ht="12.75" x14ac:dyDescent="0.2"/>
    <row r="40" spans="1:4" ht="12.75" x14ac:dyDescent="0.2"/>
    <row r="41" spans="1:4" ht="12.75" x14ac:dyDescent="0.2"/>
    <row r="42" spans="1:4" ht="12.75" hidden="1" x14ac:dyDescent="0.2"/>
    <row r="43" spans="1:4" ht="12.75" hidden="1" x14ac:dyDescent="0.2"/>
    <row r="44" spans="1:4" ht="12.75" hidden="1" x14ac:dyDescent="0.2"/>
    <row r="45" spans="1:4" ht="12.75" hidden="1" x14ac:dyDescent="0.2"/>
    <row r="46" spans="1:4" ht="12.75" hidden="1" x14ac:dyDescent="0.2"/>
    <row r="47" spans="1:4" ht="12.75" hidden="1" x14ac:dyDescent="0.2"/>
    <row r="48" spans="1:4" ht="12.75" hidden="1" x14ac:dyDescent="0.2"/>
    <row r="49" ht="12.75" hidden="1" x14ac:dyDescent="0.2"/>
    <row r="50" ht="12.75" hidden="1" x14ac:dyDescent="0.2"/>
    <row r="51" ht="12.75" hidden="1" x14ac:dyDescent="0.2"/>
    <row r="52" ht="12.75" hidden="1" x14ac:dyDescent="0.2"/>
    <row r="53" ht="12.75" hidden="1" x14ac:dyDescent="0.2"/>
    <row r="54" ht="12.75" hidden="1" x14ac:dyDescent="0.2"/>
    <row r="55" ht="12.75" hidden="1" x14ac:dyDescent="0.2"/>
    <row r="56" ht="12.75" hidden="1" x14ac:dyDescent="0.2"/>
    <row r="57" ht="12.75" hidden="1" x14ac:dyDescent="0.2"/>
    <row r="58" ht="12.75" hidden="1" x14ac:dyDescent="0.2"/>
    <row r="59" ht="12.75" hidden="1" x14ac:dyDescent="0.2"/>
    <row r="60" ht="12.75" hidden="1" x14ac:dyDescent="0.2"/>
    <row r="61" ht="12.75" hidden="1" x14ac:dyDescent="0.2"/>
    <row r="62" ht="12.75" hidden="1" x14ac:dyDescent="0.2"/>
    <row r="63" ht="12.75" hidden="1" x14ac:dyDescent="0.2"/>
    <row r="64" ht="12.75" hidden="1" x14ac:dyDescent="0.2"/>
    <row r="65" ht="12.75" hidden="1" x14ac:dyDescent="0.2"/>
    <row r="66" ht="12.75" hidden="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sheetData>
  <mergeCells count="1">
    <mergeCell ref="C23:D23"/>
  </mergeCells>
  <dataValidations count="1">
    <dataValidation type="list" allowBlank="1" showInputMessage="1" showErrorMessage="1" sqref="C29:C32" xr:uid="{00000000-0002-0000-0000-000000000000}">
      <formula1>"Formula Update,New Functionality,Logic Update,New Validation"</formula1>
    </dataValidation>
  </dataValidations>
  <hyperlinks>
    <hyperlink ref="C9" r:id="rId1" xr:uid="{00000000-0004-0000-0000-000000000000}"/>
  </hyperlinks>
  <pageMargins left="0.70866141732283472" right="0.70866141732283472" top="0.74803149606299213" bottom="0.74803149606299213" header="0.31496062992125984" footer="0.31496062992125984"/>
  <pageSetup paperSize="8" scale="90" fitToHeight="0" orientation="landscape" r:id="rId2"/>
  <headerFooter>
    <oddHeader>&amp;L&amp;F&amp;CSheet: &amp;A&amp;ROFFICIAL</oddHeader>
    <oddFooter>&amp;LPrinted on &amp;D at &amp;T&amp;CPage &amp;P of &amp;N&amp;ROfwat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F7AB-0750-434F-983A-1C6E7137B045}">
  <sheetPr>
    <tabColor theme="5" tint="0.79998168889431442"/>
    <pageSetUpPr fitToPage="1"/>
  </sheetPr>
  <dimension ref="A1:AA68"/>
  <sheetViews>
    <sheetView topLeftCell="A30" zoomScale="80" zoomScaleNormal="80" zoomScaleSheetLayoutView="100" workbookViewId="0"/>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6" width="9.140625" style="4" customWidth="1"/>
    <col min="27" max="27" width="2.7109375" style="4" customWidth="1"/>
    <col min="28" max="16384" width="9.140625" style="4"/>
  </cols>
  <sheetData>
    <row r="1" spans="1:27" s="3" customFormat="1" ht="30" x14ac:dyDescent="0.4">
      <c r="A1" s="3" t="str">
        <f ca="1" xml:space="preserve"> RIGHT(CELL("filename", $A$1), LEN(CELL("filename", $A$1)) - SEARCH("]", CELL("filename", $A$1)))</f>
        <v>Payment rates</v>
      </c>
      <c r="F1" s="3" t="str">
        <f xml:space="preserve"> Inputs!$F$1</f>
        <v>2023-24</v>
      </c>
    </row>
    <row r="2" spans="1:27" x14ac:dyDescent="0.2">
      <c r="F2" s="7" t="s">
        <v>177</v>
      </c>
      <c r="G2" s="7" t="s">
        <v>150</v>
      </c>
      <c r="H2" s="7" t="s">
        <v>178</v>
      </c>
      <c r="I2" s="10"/>
    </row>
    <row r="3" spans="1:27" s="1" customFormat="1" ht="13.5" x14ac:dyDescent="0.25">
      <c r="A3" s="1" t="s">
        <v>222</v>
      </c>
    </row>
    <row r="5" spans="1:27" s="22" customFormat="1" x14ac:dyDescent="0.2">
      <c r="E5" s="22" t="str">
        <f>Inputs!E89</f>
        <v>Company names</v>
      </c>
      <c r="G5" s="22" t="str">
        <f>Inputs!G89</f>
        <v>Text</v>
      </c>
      <c r="J5" s="22" t="str">
        <f>Inputs!J89</f>
        <v>Affinity Water</v>
      </c>
      <c r="K5" s="22" t="str">
        <f>Inputs!K89</f>
        <v>Anglian Water</v>
      </c>
      <c r="L5" s="22" t="str">
        <f>Inputs!L89</f>
        <v>Bristol Water</v>
      </c>
      <c r="M5" s="22" t="str">
        <f>Inputs!M89</f>
        <v>Dŵr Cymru</v>
      </c>
      <c r="N5" s="22" t="str">
        <f>Inputs!N89</f>
        <v>Hafren Dyfrdwy</v>
      </c>
      <c r="O5" s="22" t="str">
        <f>Inputs!O89</f>
        <v>Northumbrian Water</v>
      </c>
      <c r="P5" s="22" t="str">
        <f>Inputs!P89</f>
        <v>Portsmouth Water</v>
      </c>
      <c r="Q5" s="22" t="str">
        <f>Inputs!Q89</f>
        <v>SES Water</v>
      </c>
      <c r="R5" s="22" t="str">
        <f>Inputs!R89</f>
        <v>Severn Trent Water</v>
      </c>
      <c r="S5" s="22" t="str">
        <f>Inputs!S89</f>
        <v>South East Water</v>
      </c>
      <c r="T5" s="22" t="str">
        <f>Inputs!T89</f>
        <v>South Staffs Water</v>
      </c>
      <c r="U5" s="22" t="str">
        <f>Inputs!U89</f>
        <v>South West Water</v>
      </c>
      <c r="V5" s="22" t="str">
        <f>Inputs!V89</f>
        <v>Southern Water</v>
      </c>
      <c r="W5" s="22" t="str">
        <f>Inputs!W89</f>
        <v>Thames Water</v>
      </c>
      <c r="X5" s="22" t="str">
        <f>Inputs!X89</f>
        <v>United Utilities</v>
      </c>
      <c r="Y5" s="22" t="str">
        <f>Inputs!Y89</f>
        <v>Wessex Water</v>
      </c>
      <c r="Z5" s="22" t="str">
        <f>Inputs!Z89</f>
        <v>Yorkshire Water</v>
      </c>
    </row>
    <row r="6" spans="1:27" s="22" customFormat="1" x14ac:dyDescent="0.2">
      <c r="E6" s="22" t="str">
        <f>Inputs!E90</f>
        <v>D-MeX score - qualitative component</v>
      </c>
      <c r="G6" s="22" t="str">
        <f>Inputs!G90</f>
        <v>Number</v>
      </c>
      <c r="J6" s="23">
        <f>Inputs!J90</f>
        <v>79.010000000000005</v>
      </c>
      <c r="K6" s="23">
        <f>Inputs!K90</f>
        <v>79.37</v>
      </c>
      <c r="L6" s="23">
        <f>Inputs!L90</f>
        <v>79.33</v>
      </c>
      <c r="M6" s="23">
        <f>Inputs!M90</f>
        <v>73.94</v>
      </c>
      <c r="N6" s="23">
        <f>Inputs!N90</f>
        <v>81.67</v>
      </c>
      <c r="O6" s="23">
        <f>Inputs!O90</f>
        <v>84.04</v>
      </c>
      <c r="P6" s="23">
        <f>Inputs!P90</f>
        <v>84.89</v>
      </c>
      <c r="Q6" s="23">
        <f>Inputs!Q90</f>
        <v>74.55</v>
      </c>
      <c r="R6" s="23">
        <f>Inputs!R90</f>
        <v>84.36</v>
      </c>
      <c r="S6" s="23">
        <f>Inputs!S90</f>
        <v>68.319999999999993</v>
      </c>
      <c r="T6" s="23">
        <f>Inputs!T90</f>
        <v>77.819999999999993</v>
      </c>
      <c r="U6" s="23">
        <f>Inputs!U90</f>
        <v>80.959999999999994</v>
      </c>
      <c r="V6" s="23">
        <f>Inputs!V90</f>
        <v>68.959999999999994</v>
      </c>
      <c r="W6" s="23">
        <f>Inputs!W90</f>
        <v>65.22</v>
      </c>
      <c r="X6" s="23">
        <f>Inputs!X90</f>
        <v>83.13</v>
      </c>
      <c r="Y6" s="23">
        <f>Inputs!Y90</f>
        <v>80.12</v>
      </c>
      <c r="Z6" s="23">
        <f>Inputs!Z90</f>
        <v>64.5</v>
      </c>
    </row>
    <row r="7" spans="1:27" s="22" customFormat="1" x14ac:dyDescent="0.2">
      <c r="E7" s="22" t="str">
        <f>Inputs!E91</f>
        <v>D-MeX score - quantitative component</v>
      </c>
      <c r="G7" s="22" t="str">
        <f>Inputs!G91</f>
        <v>Number</v>
      </c>
      <c r="J7" s="23">
        <f>Inputs!J91</f>
        <v>100</v>
      </c>
      <c r="K7" s="23">
        <f>Inputs!K91</f>
        <v>99.98</v>
      </c>
      <c r="L7" s="23">
        <f>Inputs!L91</f>
        <v>99.93</v>
      </c>
      <c r="M7" s="23">
        <f>Inputs!M91</f>
        <v>100</v>
      </c>
      <c r="N7" s="23">
        <f>Inputs!N91</f>
        <v>100</v>
      </c>
      <c r="O7" s="23">
        <f>Inputs!O91</f>
        <v>99.78</v>
      </c>
      <c r="P7" s="23">
        <f>Inputs!P91</f>
        <v>100</v>
      </c>
      <c r="Q7" s="23">
        <f>Inputs!Q91</f>
        <v>99.79</v>
      </c>
      <c r="R7" s="23">
        <f>Inputs!R91</f>
        <v>99.96</v>
      </c>
      <c r="S7" s="23">
        <f>Inputs!S91</f>
        <v>98.79</v>
      </c>
      <c r="T7" s="23">
        <f>Inputs!T91</f>
        <v>98.25</v>
      </c>
      <c r="U7" s="23">
        <f>Inputs!U91</f>
        <v>99.89</v>
      </c>
      <c r="V7" s="23">
        <f>Inputs!V91</f>
        <v>98.53</v>
      </c>
      <c r="W7" s="23">
        <f>Inputs!W91</f>
        <v>94.53</v>
      </c>
      <c r="X7" s="23">
        <f>Inputs!X91</f>
        <v>99.9</v>
      </c>
      <c r="Y7" s="23">
        <f>Inputs!Y91</f>
        <v>99.87</v>
      </c>
      <c r="Z7" s="23">
        <f>Inputs!Z91</f>
        <v>99.89</v>
      </c>
    </row>
    <row r="8" spans="1:27" s="22" customFormat="1" x14ac:dyDescent="0.2">
      <c r="E8" s="22" t="str">
        <f>Inputs!E98</f>
        <v>Weighting for qualitative component</v>
      </c>
      <c r="F8" s="26">
        <f>Inputs!F98</f>
        <v>0.5</v>
      </c>
      <c r="G8" s="22" t="str">
        <f>Inputs!G98</f>
        <v>Percentage</v>
      </c>
    </row>
    <row r="9" spans="1:27" s="22" customFormat="1" x14ac:dyDescent="0.2">
      <c r="E9" s="22" t="str">
        <f>Inputs!E99</f>
        <v>Weighting for quantitative component</v>
      </c>
      <c r="F9" s="26">
        <f>Inputs!F99</f>
        <v>0.5</v>
      </c>
      <c r="G9" s="22" t="str">
        <f>Inputs!G99</f>
        <v>Percentage</v>
      </c>
    </row>
    <row r="10" spans="1:27" s="30" customFormat="1" x14ac:dyDescent="0.2">
      <c r="E10" s="30" t="s">
        <v>163</v>
      </c>
      <c r="G10" s="30" t="s">
        <v>171</v>
      </c>
      <c r="J10" s="38">
        <f>(J6*$F$8)+(J7*$F$9)</f>
        <v>89.504999999999995</v>
      </c>
      <c r="K10" s="38">
        <f t="shared" ref="K10:Y10" si="0">(K6*$F$8)+(K7*$F$9)</f>
        <v>89.675000000000011</v>
      </c>
      <c r="L10" s="38">
        <f>(L6*$F$8)+(L7*$F$9)</f>
        <v>89.63</v>
      </c>
      <c r="M10" s="38">
        <f t="shared" si="0"/>
        <v>86.97</v>
      </c>
      <c r="N10" s="38">
        <f t="shared" si="0"/>
        <v>90.835000000000008</v>
      </c>
      <c r="O10" s="38">
        <f t="shared" si="0"/>
        <v>91.91</v>
      </c>
      <c r="P10" s="38">
        <f t="shared" si="0"/>
        <v>92.444999999999993</v>
      </c>
      <c r="Q10" s="38">
        <f>(Q6*$F$8)+(Q7*$F$9)</f>
        <v>87.17</v>
      </c>
      <c r="R10" s="38">
        <f t="shared" si="0"/>
        <v>92.16</v>
      </c>
      <c r="S10" s="38">
        <f t="shared" si="0"/>
        <v>83.555000000000007</v>
      </c>
      <c r="T10" s="38">
        <f t="shared" si="0"/>
        <v>88.034999999999997</v>
      </c>
      <c r="U10" s="38">
        <f t="shared" si="0"/>
        <v>90.424999999999997</v>
      </c>
      <c r="V10" s="38">
        <f t="shared" si="0"/>
        <v>83.745000000000005</v>
      </c>
      <c r="W10" s="38">
        <f>(W6*$F$8)+(W7*$F$9)</f>
        <v>79.875</v>
      </c>
      <c r="X10" s="38">
        <f t="shared" si="0"/>
        <v>91.515000000000001</v>
      </c>
      <c r="Y10" s="38">
        <f t="shared" si="0"/>
        <v>89.995000000000005</v>
      </c>
      <c r="Z10" s="38">
        <f>(Z6*$F$8)+(Z7*$F$9)</f>
        <v>82.194999999999993</v>
      </c>
      <c r="AA10" s="38"/>
    </row>
    <row r="12" spans="1:27" s="1" customFormat="1" ht="13.5" x14ac:dyDescent="0.25">
      <c r="A12" s="1" t="s">
        <v>59</v>
      </c>
    </row>
    <row r="14" spans="1:27" x14ac:dyDescent="0.2">
      <c r="B14" s="10" t="s">
        <v>223</v>
      </c>
    </row>
    <row r="15" spans="1:27" s="22" customFormat="1" x14ac:dyDescent="0.2">
      <c r="E15" s="8" t="str">
        <f>E10</f>
        <v>D-MeX score</v>
      </c>
      <c r="F15" s="8"/>
      <c r="G15" s="8" t="str">
        <f t="shared" ref="G15:Z15" si="1">G10</f>
        <v>Number</v>
      </c>
      <c r="H15" s="8"/>
      <c r="I15" s="8"/>
      <c r="J15" s="24">
        <f t="shared" si="1"/>
        <v>89.504999999999995</v>
      </c>
      <c r="K15" s="24">
        <f>K10</f>
        <v>89.675000000000011</v>
      </c>
      <c r="L15" s="24">
        <f t="shared" si="1"/>
        <v>89.63</v>
      </c>
      <c r="M15" s="24">
        <f t="shared" si="1"/>
        <v>86.97</v>
      </c>
      <c r="N15" s="24">
        <f t="shared" si="1"/>
        <v>90.835000000000008</v>
      </c>
      <c r="O15" s="24">
        <f t="shared" si="1"/>
        <v>91.91</v>
      </c>
      <c r="P15" s="24">
        <f t="shared" si="1"/>
        <v>92.444999999999993</v>
      </c>
      <c r="Q15" s="24">
        <f t="shared" si="1"/>
        <v>87.17</v>
      </c>
      <c r="R15" s="24">
        <f t="shared" si="1"/>
        <v>92.16</v>
      </c>
      <c r="S15" s="24">
        <f t="shared" si="1"/>
        <v>83.555000000000007</v>
      </c>
      <c r="T15" s="24">
        <f t="shared" si="1"/>
        <v>88.034999999999997</v>
      </c>
      <c r="U15" s="24">
        <f t="shared" si="1"/>
        <v>90.424999999999997</v>
      </c>
      <c r="V15" s="24">
        <f t="shared" si="1"/>
        <v>83.745000000000005</v>
      </c>
      <c r="W15" s="24">
        <f t="shared" si="1"/>
        <v>79.875</v>
      </c>
      <c r="X15" s="24">
        <f t="shared" si="1"/>
        <v>91.515000000000001</v>
      </c>
      <c r="Y15" s="24">
        <f>Y10</f>
        <v>89.995000000000005</v>
      </c>
      <c r="Z15" s="24">
        <f t="shared" si="1"/>
        <v>82.194999999999993</v>
      </c>
    </row>
    <row r="16" spans="1:27" x14ac:dyDescent="0.2">
      <c r="E16" s="4" t="s">
        <v>224</v>
      </c>
      <c r="F16" s="16">
        <f>AVERAGE(J15:Z15)</f>
        <v>88.214117647058828</v>
      </c>
      <c r="G16" s="4" t="s">
        <v>171</v>
      </c>
    </row>
    <row r="17" spans="2:26" x14ac:dyDescent="0.2">
      <c r="E17" s="4" t="s">
        <v>225</v>
      </c>
      <c r="F17" s="16">
        <f>MEDIAN(J15:Z15)</f>
        <v>89.63</v>
      </c>
      <c r="G17" s="4" t="s">
        <v>171</v>
      </c>
    </row>
    <row r="18" spans="2:26" x14ac:dyDescent="0.2">
      <c r="E18" s="4" t="s">
        <v>226</v>
      </c>
      <c r="F18" s="16">
        <f>MAX(J15:Z15)</f>
        <v>92.444999999999993</v>
      </c>
      <c r="G18" s="4" t="s">
        <v>171</v>
      </c>
    </row>
    <row r="19" spans="2:26" x14ac:dyDescent="0.2">
      <c r="E19" s="4" t="s">
        <v>227</v>
      </c>
      <c r="F19" s="16">
        <f>MIN(J15:Z15)</f>
        <v>79.875</v>
      </c>
      <c r="G19" s="4" t="s">
        <v>171</v>
      </c>
    </row>
    <row r="21" spans="2:26" x14ac:dyDescent="0.2">
      <c r="E21" s="4" t="str">
        <f>E10</f>
        <v>D-MeX score</v>
      </c>
      <c r="G21" s="4" t="str">
        <f t="shared" ref="G21:Z21" si="2">G10</f>
        <v>Number</v>
      </c>
      <c r="J21" s="16">
        <f t="shared" si="2"/>
        <v>89.504999999999995</v>
      </c>
      <c r="K21" s="16">
        <f t="shared" si="2"/>
        <v>89.675000000000011</v>
      </c>
      <c r="L21" s="16">
        <f t="shared" si="2"/>
        <v>89.63</v>
      </c>
      <c r="M21" s="16">
        <f t="shared" si="2"/>
        <v>86.97</v>
      </c>
      <c r="N21" s="16">
        <f t="shared" si="2"/>
        <v>90.835000000000008</v>
      </c>
      <c r="O21" s="16">
        <f t="shared" si="2"/>
        <v>91.91</v>
      </c>
      <c r="P21" s="16">
        <f t="shared" si="2"/>
        <v>92.444999999999993</v>
      </c>
      <c r="Q21" s="16">
        <f t="shared" si="2"/>
        <v>87.17</v>
      </c>
      <c r="R21" s="16">
        <f t="shared" si="2"/>
        <v>92.16</v>
      </c>
      <c r="S21" s="16">
        <f t="shared" si="2"/>
        <v>83.555000000000007</v>
      </c>
      <c r="T21" s="16">
        <f t="shared" si="2"/>
        <v>88.034999999999997</v>
      </c>
      <c r="U21" s="16">
        <f t="shared" si="2"/>
        <v>90.424999999999997</v>
      </c>
      <c r="V21" s="16">
        <f t="shared" si="2"/>
        <v>83.745000000000005</v>
      </c>
      <c r="W21" s="16">
        <f t="shared" si="2"/>
        <v>79.875</v>
      </c>
      <c r="X21" s="16">
        <f t="shared" si="2"/>
        <v>91.515000000000001</v>
      </c>
      <c r="Y21" s="16">
        <f t="shared" si="2"/>
        <v>89.995000000000005</v>
      </c>
      <c r="Z21" s="16">
        <f t="shared" si="2"/>
        <v>82.194999999999993</v>
      </c>
    </row>
    <row r="22" spans="2:26" x14ac:dyDescent="0.2">
      <c r="E22" s="4" t="str">
        <f>E17</f>
        <v>D-MeX score - median average</v>
      </c>
      <c r="F22" s="16">
        <f>F17</f>
        <v>89.63</v>
      </c>
      <c r="G22" s="4" t="str">
        <f>G17</f>
        <v>Number</v>
      </c>
      <c r="J22" s="16"/>
      <c r="K22" s="16"/>
      <c r="L22" s="16"/>
      <c r="M22" s="16"/>
      <c r="N22" s="16"/>
      <c r="O22" s="16"/>
      <c r="P22" s="16"/>
      <c r="Q22" s="16"/>
      <c r="R22" s="16"/>
      <c r="S22" s="16"/>
      <c r="T22" s="16"/>
      <c r="U22" s="16"/>
      <c r="V22" s="16"/>
      <c r="W22" s="16"/>
      <c r="X22" s="16"/>
      <c r="Y22" s="16"/>
      <c r="Z22" s="16"/>
    </row>
    <row r="23" spans="2:26" x14ac:dyDescent="0.2">
      <c r="E23" s="4" t="s">
        <v>228</v>
      </c>
      <c r="G23" s="4" t="s">
        <v>171</v>
      </c>
      <c r="J23" s="16">
        <f>J21-$F22</f>
        <v>-0.125</v>
      </c>
      <c r="K23" s="16">
        <f t="shared" ref="K23:Y23" si="3">K21-$F22</f>
        <v>4.5000000000015916E-2</v>
      </c>
      <c r="L23" s="16">
        <f t="shared" si="3"/>
        <v>0</v>
      </c>
      <c r="M23" s="16">
        <f t="shared" si="3"/>
        <v>-2.6599999999999966</v>
      </c>
      <c r="N23" s="16">
        <f t="shared" si="3"/>
        <v>1.2050000000000125</v>
      </c>
      <c r="O23" s="16">
        <f t="shared" si="3"/>
        <v>2.2800000000000011</v>
      </c>
      <c r="P23" s="16">
        <f t="shared" si="3"/>
        <v>2.8149999999999977</v>
      </c>
      <c r="Q23" s="16">
        <f t="shared" si="3"/>
        <v>-2.4599999999999937</v>
      </c>
      <c r="R23" s="16">
        <f t="shared" si="3"/>
        <v>2.5300000000000011</v>
      </c>
      <c r="S23" s="16">
        <f t="shared" si="3"/>
        <v>-6.0749999999999886</v>
      </c>
      <c r="T23" s="16">
        <f t="shared" si="3"/>
        <v>-1.5949999999999989</v>
      </c>
      <c r="U23" s="16">
        <f t="shared" si="3"/>
        <v>0.79500000000000171</v>
      </c>
      <c r="V23" s="16">
        <f t="shared" si="3"/>
        <v>-5.8849999999999909</v>
      </c>
      <c r="W23" s="16">
        <f t="shared" si="3"/>
        <v>-9.7549999999999955</v>
      </c>
      <c r="X23" s="16">
        <f t="shared" si="3"/>
        <v>1.8850000000000051</v>
      </c>
      <c r="Y23" s="16">
        <f t="shared" si="3"/>
        <v>0.36500000000000909</v>
      </c>
      <c r="Z23" s="16">
        <f>Z21-$F22</f>
        <v>-7.4350000000000023</v>
      </c>
    </row>
    <row r="24" spans="2:26" x14ac:dyDescent="0.2">
      <c r="J24" s="16"/>
      <c r="K24" s="16"/>
      <c r="L24" s="16"/>
      <c r="M24" s="16"/>
      <c r="N24" s="16"/>
      <c r="O24" s="16"/>
      <c r="P24" s="16"/>
      <c r="Q24" s="16"/>
      <c r="R24" s="16"/>
      <c r="S24" s="16"/>
      <c r="T24" s="16"/>
      <c r="U24" s="16"/>
      <c r="V24" s="16"/>
      <c r="W24" s="16"/>
      <c r="X24" s="16"/>
      <c r="Y24" s="16"/>
      <c r="Z24" s="16"/>
    </row>
    <row r="25" spans="2:26" x14ac:dyDescent="0.2">
      <c r="B25" s="10" t="s">
        <v>229</v>
      </c>
      <c r="J25" s="16"/>
      <c r="K25" s="16"/>
      <c r="L25" s="16"/>
      <c r="M25" s="16"/>
      <c r="N25" s="16"/>
      <c r="O25" s="16"/>
      <c r="P25" s="16"/>
      <c r="Q25" s="16"/>
      <c r="R25" s="16"/>
      <c r="S25" s="16"/>
      <c r="T25" s="16"/>
      <c r="U25" s="16"/>
      <c r="V25" s="16"/>
      <c r="W25" s="16"/>
      <c r="X25" s="16"/>
      <c r="Y25" s="16"/>
      <c r="Z25" s="16"/>
    </row>
    <row r="26" spans="2:26" x14ac:dyDescent="0.2">
      <c r="C26" s="25" t="s">
        <v>230</v>
      </c>
      <c r="J26" s="16"/>
      <c r="K26" s="16"/>
      <c r="L26" s="16"/>
      <c r="M26" s="16"/>
      <c r="N26" s="16"/>
      <c r="O26" s="16"/>
      <c r="P26" s="16"/>
      <c r="Q26" s="16"/>
      <c r="R26" s="16"/>
      <c r="S26" s="16"/>
      <c r="T26" s="16"/>
      <c r="U26" s="16"/>
      <c r="V26" s="16"/>
      <c r="W26" s="16"/>
      <c r="X26" s="16"/>
      <c r="Y26" s="16"/>
      <c r="Z26" s="16"/>
    </row>
    <row r="27" spans="2:26" x14ac:dyDescent="0.2">
      <c r="E27" s="4" t="str">
        <f>E23</f>
        <v>Difference from median</v>
      </c>
      <c r="G27" s="4" t="str">
        <f t="shared" ref="G27:Z27" si="4">G23</f>
        <v>Number</v>
      </c>
      <c r="J27" s="16">
        <f t="shared" si="4"/>
        <v>-0.125</v>
      </c>
      <c r="K27" s="16">
        <f t="shared" si="4"/>
        <v>4.5000000000015916E-2</v>
      </c>
      <c r="L27" s="16">
        <f t="shared" si="4"/>
        <v>0</v>
      </c>
      <c r="M27" s="16">
        <f t="shared" si="4"/>
        <v>-2.6599999999999966</v>
      </c>
      <c r="N27" s="16">
        <f t="shared" si="4"/>
        <v>1.2050000000000125</v>
      </c>
      <c r="O27" s="16">
        <f t="shared" si="4"/>
        <v>2.2800000000000011</v>
      </c>
      <c r="P27" s="16">
        <f t="shared" si="4"/>
        <v>2.8149999999999977</v>
      </c>
      <c r="Q27" s="16">
        <f t="shared" si="4"/>
        <v>-2.4599999999999937</v>
      </c>
      <c r="R27" s="16">
        <f t="shared" si="4"/>
        <v>2.5300000000000011</v>
      </c>
      <c r="S27" s="16">
        <f t="shared" si="4"/>
        <v>-6.0749999999999886</v>
      </c>
      <c r="T27" s="16">
        <f t="shared" si="4"/>
        <v>-1.5949999999999989</v>
      </c>
      <c r="U27" s="16">
        <f t="shared" si="4"/>
        <v>0.79500000000000171</v>
      </c>
      <c r="V27" s="16">
        <f t="shared" si="4"/>
        <v>-5.8849999999999909</v>
      </c>
      <c r="W27" s="16">
        <f t="shared" si="4"/>
        <v>-9.7549999999999955</v>
      </c>
      <c r="X27" s="16">
        <f t="shared" si="4"/>
        <v>1.8850000000000051</v>
      </c>
      <c r="Y27" s="16">
        <f t="shared" si="4"/>
        <v>0.36500000000000909</v>
      </c>
      <c r="Z27" s="16">
        <f t="shared" si="4"/>
        <v>-7.4350000000000023</v>
      </c>
    </row>
    <row r="28" spans="2:26" x14ac:dyDescent="0.2">
      <c r="E28" s="4" t="s">
        <v>231</v>
      </c>
      <c r="G28" s="4" t="s">
        <v>171</v>
      </c>
      <c r="J28" s="16">
        <f>IF(J27&gt;0,J27,0)</f>
        <v>0</v>
      </c>
      <c r="K28" s="16">
        <f t="shared" ref="K28:Z28" si="5">IF(K27&gt;0,K27,0)</f>
        <v>4.5000000000015916E-2</v>
      </c>
      <c r="L28" s="16">
        <f t="shared" si="5"/>
        <v>0</v>
      </c>
      <c r="M28" s="16">
        <f t="shared" si="5"/>
        <v>0</v>
      </c>
      <c r="N28" s="16">
        <f t="shared" si="5"/>
        <v>1.2050000000000125</v>
      </c>
      <c r="O28" s="16">
        <f t="shared" si="5"/>
        <v>2.2800000000000011</v>
      </c>
      <c r="P28" s="16">
        <f>IF(P27&gt;0,P27,0)</f>
        <v>2.8149999999999977</v>
      </c>
      <c r="Q28" s="16">
        <f t="shared" si="5"/>
        <v>0</v>
      </c>
      <c r="R28" s="16">
        <f t="shared" si="5"/>
        <v>2.5300000000000011</v>
      </c>
      <c r="S28" s="16">
        <f t="shared" si="5"/>
        <v>0</v>
      </c>
      <c r="T28" s="16">
        <f t="shared" si="5"/>
        <v>0</v>
      </c>
      <c r="U28" s="16">
        <f t="shared" si="5"/>
        <v>0.79500000000000171</v>
      </c>
      <c r="V28" s="16">
        <f t="shared" si="5"/>
        <v>0</v>
      </c>
      <c r="W28" s="16">
        <f t="shared" si="5"/>
        <v>0</v>
      </c>
      <c r="X28" s="16">
        <f t="shared" si="5"/>
        <v>1.8850000000000051</v>
      </c>
      <c r="Y28" s="16">
        <f t="shared" si="5"/>
        <v>0.36500000000000909</v>
      </c>
      <c r="Z28" s="16">
        <f t="shared" si="5"/>
        <v>0</v>
      </c>
    </row>
    <row r="29" spans="2:26" x14ac:dyDescent="0.2">
      <c r="J29" s="16"/>
      <c r="K29" s="16"/>
      <c r="L29" s="16"/>
      <c r="M29" s="16"/>
      <c r="N29" s="16"/>
      <c r="O29" s="16"/>
      <c r="P29" s="16"/>
      <c r="Q29" s="16"/>
      <c r="R29" s="16"/>
      <c r="S29" s="16"/>
      <c r="T29" s="16"/>
      <c r="U29" s="16"/>
      <c r="V29" s="16"/>
      <c r="W29" s="16"/>
      <c r="X29" s="16"/>
      <c r="Y29" s="16"/>
      <c r="Z29" s="16"/>
    </row>
    <row r="30" spans="2:26" x14ac:dyDescent="0.2">
      <c r="E30" s="4" t="str">
        <f>E18</f>
        <v>D-MeX score - maximum</v>
      </c>
      <c r="F30" s="16">
        <f>F18</f>
        <v>92.444999999999993</v>
      </c>
      <c r="G30" s="4" t="str">
        <f>G18</f>
        <v>Number</v>
      </c>
      <c r="J30" s="16"/>
      <c r="K30" s="16"/>
      <c r="L30" s="16"/>
      <c r="M30" s="16"/>
      <c r="N30" s="16"/>
      <c r="O30" s="16"/>
      <c r="P30" s="16"/>
      <c r="Q30" s="16"/>
      <c r="R30" s="16"/>
      <c r="S30" s="16"/>
      <c r="T30" s="16"/>
      <c r="U30" s="16"/>
      <c r="V30" s="16"/>
      <c r="W30" s="16"/>
      <c r="X30" s="16"/>
      <c r="Y30" s="16"/>
      <c r="Z30" s="16"/>
    </row>
    <row r="31" spans="2:26" x14ac:dyDescent="0.2">
      <c r="E31" s="4" t="str">
        <f>E17</f>
        <v>D-MeX score - median average</v>
      </c>
      <c r="F31" s="16">
        <f>F17</f>
        <v>89.63</v>
      </c>
      <c r="G31" s="4" t="str">
        <f>G17</f>
        <v>Number</v>
      </c>
      <c r="J31" s="16"/>
      <c r="K31" s="16"/>
      <c r="L31" s="16"/>
      <c r="M31" s="16"/>
      <c r="N31" s="16"/>
      <c r="O31" s="16"/>
      <c r="P31" s="16"/>
      <c r="Q31" s="16"/>
      <c r="R31" s="16"/>
      <c r="S31" s="16"/>
      <c r="T31" s="16"/>
      <c r="U31" s="16"/>
      <c r="V31" s="16"/>
      <c r="W31" s="16"/>
      <c r="X31" s="16"/>
      <c r="Y31" s="16"/>
      <c r="Z31" s="16"/>
    </row>
    <row r="32" spans="2:26" x14ac:dyDescent="0.2">
      <c r="E32" s="4" t="s">
        <v>232</v>
      </c>
      <c r="F32" s="16">
        <f>F30-F31</f>
        <v>2.8149999999999977</v>
      </c>
      <c r="G32" s="4" t="s">
        <v>171</v>
      </c>
      <c r="J32" s="16"/>
      <c r="K32" s="16"/>
      <c r="L32" s="16"/>
      <c r="M32" s="16"/>
      <c r="N32" s="16"/>
      <c r="O32" s="16"/>
      <c r="P32" s="16"/>
      <c r="Q32" s="16"/>
      <c r="R32" s="16"/>
      <c r="S32" s="16"/>
      <c r="T32" s="16"/>
      <c r="U32" s="16"/>
      <c r="V32" s="16"/>
      <c r="W32" s="16"/>
      <c r="X32" s="16"/>
      <c r="Y32" s="16"/>
      <c r="Z32" s="16"/>
    </row>
    <row r="33" spans="3:27" x14ac:dyDescent="0.2">
      <c r="F33" s="16"/>
      <c r="J33" s="16"/>
      <c r="K33" s="16"/>
      <c r="L33" s="16"/>
      <c r="M33" s="16"/>
      <c r="N33" s="16"/>
      <c r="O33" s="16"/>
      <c r="P33" s="16"/>
      <c r="Q33" s="16"/>
      <c r="R33" s="16"/>
      <c r="S33" s="16"/>
      <c r="T33" s="16"/>
      <c r="U33" s="16"/>
      <c r="V33" s="16"/>
      <c r="W33" s="16"/>
      <c r="X33" s="16"/>
      <c r="Y33" s="16"/>
      <c r="Z33" s="16"/>
    </row>
    <row r="34" spans="3:27" s="22" customFormat="1" x14ac:dyDescent="0.2">
      <c r="E34" s="22" t="str">
        <f>Inputs!E102</f>
        <v>Maximum outperformance payment rates</v>
      </c>
      <c r="F34" s="26">
        <f>Inputs!F102</f>
        <v>0.06</v>
      </c>
      <c r="G34" s="22" t="str">
        <f>Inputs!G102</f>
        <v>Percentage</v>
      </c>
    </row>
    <row r="35" spans="3:27" x14ac:dyDescent="0.2">
      <c r="E35" s="4" t="str">
        <f>E32</f>
        <v>Difference between median and maximum score</v>
      </c>
      <c r="F35" s="16">
        <f t="shared" ref="F35:G35" si="6">F32</f>
        <v>2.8149999999999977</v>
      </c>
      <c r="G35" s="4" t="str">
        <f t="shared" si="6"/>
        <v>Number</v>
      </c>
      <c r="J35" s="16"/>
      <c r="K35" s="16"/>
      <c r="L35" s="16"/>
      <c r="M35" s="16"/>
      <c r="N35" s="16"/>
      <c r="O35" s="16"/>
      <c r="P35" s="16"/>
      <c r="Q35" s="16"/>
      <c r="R35" s="16"/>
      <c r="S35" s="16"/>
      <c r="T35" s="16"/>
      <c r="U35" s="16"/>
      <c r="V35" s="16"/>
      <c r="W35" s="16"/>
      <c r="X35" s="16"/>
      <c r="Y35" s="16"/>
      <c r="Z35" s="16"/>
    </row>
    <row r="36" spans="3:27" s="8" customFormat="1" x14ac:dyDescent="0.2">
      <c r="E36" s="8" t="s">
        <v>233</v>
      </c>
      <c r="F36" s="195">
        <f>IF(F35 = 0, 0, F34 / F35)</f>
        <v>2.1314387211367691E-2</v>
      </c>
      <c r="G36" s="8" t="s">
        <v>199</v>
      </c>
    </row>
    <row r="37" spans="3:27" s="8" customFormat="1" x14ac:dyDescent="0.2">
      <c r="F37" s="27"/>
    </row>
    <row r="38" spans="3:27" s="8" customFormat="1" x14ac:dyDescent="0.2">
      <c r="E38" s="8" t="str">
        <f>E28</f>
        <v>Difference from median - positive scores only</v>
      </c>
      <c r="G38" s="8" t="str">
        <f t="shared" ref="G38:Z38" si="7">G28</f>
        <v>Number</v>
      </c>
      <c r="J38" s="24">
        <f t="shared" si="7"/>
        <v>0</v>
      </c>
      <c r="K38" s="24">
        <f>K28</f>
        <v>4.5000000000015916E-2</v>
      </c>
      <c r="L38" s="24">
        <f t="shared" si="7"/>
        <v>0</v>
      </c>
      <c r="M38" s="24">
        <f t="shared" si="7"/>
        <v>0</v>
      </c>
      <c r="N38" s="24">
        <f t="shared" si="7"/>
        <v>1.2050000000000125</v>
      </c>
      <c r="O38" s="24">
        <f t="shared" si="7"/>
        <v>2.2800000000000011</v>
      </c>
      <c r="P38" s="24">
        <f t="shared" si="7"/>
        <v>2.8149999999999977</v>
      </c>
      <c r="Q38" s="24">
        <f t="shared" si="7"/>
        <v>0</v>
      </c>
      <c r="R38" s="24">
        <f t="shared" si="7"/>
        <v>2.5300000000000011</v>
      </c>
      <c r="S38" s="24">
        <f t="shared" si="7"/>
        <v>0</v>
      </c>
      <c r="T38" s="24">
        <f t="shared" si="7"/>
        <v>0</v>
      </c>
      <c r="U38" s="24">
        <f t="shared" si="7"/>
        <v>0.79500000000000171</v>
      </c>
      <c r="V38" s="24">
        <f t="shared" si="7"/>
        <v>0</v>
      </c>
      <c r="W38" s="24">
        <f t="shared" si="7"/>
        <v>0</v>
      </c>
      <c r="X38" s="24">
        <f t="shared" si="7"/>
        <v>1.8850000000000051</v>
      </c>
      <c r="Y38" s="24">
        <f t="shared" si="7"/>
        <v>0.36500000000000909</v>
      </c>
      <c r="Z38" s="24">
        <f t="shared" si="7"/>
        <v>0</v>
      </c>
    </row>
    <row r="39" spans="3:27" s="8" customFormat="1" x14ac:dyDescent="0.2">
      <c r="E39" s="8" t="str">
        <f>E36</f>
        <v>Outperformance rate - % per score</v>
      </c>
      <c r="F39" s="27">
        <f t="shared" ref="F39:G39" si="8">F36</f>
        <v>2.1314387211367691E-2</v>
      </c>
      <c r="G39" s="8" t="str">
        <f t="shared" si="8"/>
        <v>Percentage</v>
      </c>
    </row>
    <row r="40" spans="3:27" s="8" customFormat="1" x14ac:dyDescent="0.2">
      <c r="E40" s="8" t="s">
        <v>234</v>
      </c>
      <c r="F40" s="27"/>
      <c r="G40" s="8" t="s">
        <v>199</v>
      </c>
      <c r="J40" s="28">
        <f>J38*$F39</f>
        <v>0</v>
      </c>
      <c r="K40" s="28">
        <f>K38*$F39</f>
        <v>9.5914742451188532E-4</v>
      </c>
      <c r="L40" s="28">
        <f t="shared" ref="L40:Z40" si="9">L38*$F39</f>
        <v>0</v>
      </c>
      <c r="M40" s="28">
        <f t="shared" si="9"/>
        <v>0</v>
      </c>
      <c r="N40" s="28">
        <f>N38*$F39</f>
        <v>2.5683836589698333E-2</v>
      </c>
      <c r="O40" s="28">
        <f t="shared" si="9"/>
        <v>4.8596802841918363E-2</v>
      </c>
      <c r="P40" s="28">
        <f t="shared" si="9"/>
        <v>6.0000000000000005E-2</v>
      </c>
      <c r="Q40" s="28">
        <f t="shared" si="9"/>
        <v>0</v>
      </c>
      <c r="R40" s="28">
        <f t="shared" si="9"/>
        <v>5.3925399644760286E-2</v>
      </c>
      <c r="S40" s="28">
        <f t="shared" si="9"/>
        <v>0</v>
      </c>
      <c r="T40" s="28">
        <f t="shared" si="9"/>
        <v>0</v>
      </c>
      <c r="U40" s="28">
        <f t="shared" si="9"/>
        <v>1.6944937833037351E-2</v>
      </c>
      <c r="V40" s="28">
        <f t="shared" si="9"/>
        <v>0</v>
      </c>
      <c r="W40" s="28">
        <f t="shared" si="9"/>
        <v>0</v>
      </c>
      <c r="X40" s="28">
        <f>X38*$F39</f>
        <v>4.0177619893428204E-2</v>
      </c>
      <c r="Y40" s="28">
        <f t="shared" si="9"/>
        <v>7.7797513321494014E-3</v>
      </c>
      <c r="Z40" s="28">
        <f t="shared" si="9"/>
        <v>0</v>
      </c>
      <c r="AA40" s="28"/>
    </row>
    <row r="41" spans="3:27" x14ac:dyDescent="0.2">
      <c r="J41" s="16"/>
      <c r="K41" s="16"/>
      <c r="L41" s="16"/>
      <c r="M41" s="16"/>
      <c r="N41" s="16"/>
      <c r="O41" s="16"/>
      <c r="P41" s="16"/>
      <c r="Q41" s="16"/>
      <c r="R41" s="16"/>
      <c r="S41" s="16"/>
      <c r="T41" s="16"/>
      <c r="U41" s="16"/>
      <c r="V41" s="16"/>
      <c r="W41" s="16"/>
      <c r="X41" s="16"/>
      <c r="Y41" s="16"/>
      <c r="Z41" s="16"/>
    </row>
    <row r="42" spans="3:27" x14ac:dyDescent="0.2">
      <c r="C42" s="25" t="s">
        <v>235</v>
      </c>
      <c r="J42" s="16"/>
      <c r="K42" s="16"/>
      <c r="L42" s="16"/>
      <c r="M42" s="16"/>
      <c r="N42" s="16"/>
      <c r="O42" s="16"/>
      <c r="P42" s="16"/>
      <c r="Q42" s="16"/>
      <c r="R42" s="16"/>
      <c r="S42" s="16"/>
      <c r="T42" s="16"/>
      <c r="U42" s="16"/>
      <c r="V42" s="16"/>
      <c r="W42" s="16"/>
      <c r="X42" s="16"/>
      <c r="Y42" s="16"/>
      <c r="Z42" s="16"/>
    </row>
    <row r="43" spans="3:27" x14ac:dyDescent="0.2">
      <c r="E43" s="4" t="str">
        <f>E23</f>
        <v>Difference from median</v>
      </c>
      <c r="G43" s="4" t="str">
        <f t="shared" ref="G43:Z43" si="10">G23</f>
        <v>Number</v>
      </c>
      <c r="J43" s="16">
        <f t="shared" si="10"/>
        <v>-0.125</v>
      </c>
      <c r="K43" s="16">
        <f t="shared" si="10"/>
        <v>4.5000000000015916E-2</v>
      </c>
      <c r="L43" s="16">
        <f t="shared" si="10"/>
        <v>0</v>
      </c>
      <c r="M43" s="16">
        <f t="shared" si="10"/>
        <v>-2.6599999999999966</v>
      </c>
      <c r="N43" s="16">
        <f t="shared" si="10"/>
        <v>1.2050000000000125</v>
      </c>
      <c r="O43" s="16">
        <f t="shared" si="10"/>
        <v>2.2800000000000011</v>
      </c>
      <c r="P43" s="16">
        <f t="shared" si="10"/>
        <v>2.8149999999999977</v>
      </c>
      <c r="Q43" s="16">
        <f t="shared" si="10"/>
        <v>-2.4599999999999937</v>
      </c>
      <c r="R43" s="16">
        <f t="shared" si="10"/>
        <v>2.5300000000000011</v>
      </c>
      <c r="S43" s="16">
        <f t="shared" si="10"/>
        <v>-6.0749999999999886</v>
      </c>
      <c r="T43" s="16">
        <f t="shared" si="10"/>
        <v>-1.5949999999999989</v>
      </c>
      <c r="U43" s="16">
        <f t="shared" si="10"/>
        <v>0.79500000000000171</v>
      </c>
      <c r="V43" s="16">
        <f t="shared" si="10"/>
        <v>-5.8849999999999909</v>
      </c>
      <c r="W43" s="16">
        <f t="shared" si="10"/>
        <v>-9.7549999999999955</v>
      </c>
      <c r="X43" s="16">
        <f t="shared" si="10"/>
        <v>1.8850000000000051</v>
      </c>
      <c r="Y43" s="16">
        <f t="shared" si="10"/>
        <v>0.36500000000000909</v>
      </c>
      <c r="Z43" s="16">
        <f t="shared" si="10"/>
        <v>-7.4350000000000023</v>
      </c>
    </row>
    <row r="44" spans="3:27" x14ac:dyDescent="0.2">
      <c r="E44" s="4" t="s">
        <v>236</v>
      </c>
      <c r="G44" s="4" t="s">
        <v>171</v>
      </c>
      <c r="J44" s="16">
        <f>IF(J43&lt;0,J43,0)</f>
        <v>-0.125</v>
      </c>
      <c r="K44" s="16">
        <f t="shared" ref="K44:Z44" si="11">IF(K43&lt;0,K43,0)</f>
        <v>0</v>
      </c>
      <c r="L44" s="16">
        <f t="shared" si="11"/>
        <v>0</v>
      </c>
      <c r="M44" s="16">
        <f t="shared" si="11"/>
        <v>-2.6599999999999966</v>
      </c>
      <c r="N44" s="16">
        <f t="shared" si="11"/>
        <v>0</v>
      </c>
      <c r="O44" s="16">
        <f t="shared" si="11"/>
        <v>0</v>
      </c>
      <c r="P44" s="16">
        <f t="shared" si="11"/>
        <v>0</v>
      </c>
      <c r="Q44" s="16">
        <f t="shared" si="11"/>
        <v>-2.4599999999999937</v>
      </c>
      <c r="R44" s="16">
        <f t="shared" si="11"/>
        <v>0</v>
      </c>
      <c r="S44" s="16">
        <f t="shared" si="11"/>
        <v>-6.0749999999999886</v>
      </c>
      <c r="T44" s="16">
        <f t="shared" si="11"/>
        <v>-1.5949999999999989</v>
      </c>
      <c r="U44" s="16">
        <f t="shared" si="11"/>
        <v>0</v>
      </c>
      <c r="V44" s="16">
        <f t="shared" si="11"/>
        <v>-5.8849999999999909</v>
      </c>
      <c r="W44" s="16">
        <f t="shared" si="11"/>
        <v>-9.7549999999999955</v>
      </c>
      <c r="X44" s="16">
        <f t="shared" si="11"/>
        <v>0</v>
      </c>
      <c r="Y44" s="16">
        <f t="shared" si="11"/>
        <v>0</v>
      </c>
      <c r="Z44" s="16">
        <f t="shared" si="11"/>
        <v>-7.4350000000000023</v>
      </c>
      <c r="AA44" s="16"/>
    </row>
    <row r="45" spans="3:27" x14ac:dyDescent="0.2">
      <c r="J45" s="16"/>
      <c r="K45" s="16"/>
      <c r="L45" s="16"/>
      <c r="M45" s="16"/>
      <c r="N45" s="16"/>
      <c r="O45" s="16"/>
      <c r="P45" s="16"/>
      <c r="Q45" s="16"/>
      <c r="R45" s="16"/>
      <c r="S45" s="16"/>
      <c r="T45" s="16"/>
      <c r="U45" s="16"/>
      <c r="V45" s="16"/>
      <c r="W45" s="16"/>
      <c r="X45" s="16"/>
      <c r="Y45" s="16"/>
      <c r="Z45" s="16"/>
    </row>
    <row r="46" spans="3:27" x14ac:dyDescent="0.2">
      <c r="E46" s="4" t="str">
        <f>E19</f>
        <v>D-MeX score - minimum</v>
      </c>
      <c r="F46" s="16">
        <f>F19</f>
        <v>79.875</v>
      </c>
      <c r="G46" s="4" t="str">
        <f>G19</f>
        <v>Number</v>
      </c>
      <c r="J46" s="16"/>
      <c r="K46" s="16"/>
      <c r="L46" s="16"/>
      <c r="M46" s="16"/>
      <c r="N46" s="16"/>
      <c r="O46" s="16"/>
      <c r="P46" s="16"/>
      <c r="Q46" s="16"/>
      <c r="R46" s="16"/>
      <c r="S46" s="16"/>
      <c r="T46" s="16"/>
      <c r="U46" s="16"/>
      <c r="V46" s="16"/>
      <c r="W46" s="16"/>
      <c r="X46" s="16"/>
      <c r="Y46" s="16"/>
      <c r="Z46" s="16"/>
    </row>
    <row r="47" spans="3:27" x14ac:dyDescent="0.2">
      <c r="E47" s="4" t="str">
        <f>E17</f>
        <v>D-MeX score - median average</v>
      </c>
      <c r="F47" s="16">
        <f>F17</f>
        <v>89.63</v>
      </c>
      <c r="G47" s="4" t="str">
        <f>G17</f>
        <v>Number</v>
      </c>
      <c r="J47" s="16"/>
      <c r="K47" s="16"/>
      <c r="L47" s="16"/>
      <c r="M47" s="16"/>
      <c r="N47" s="16"/>
      <c r="O47" s="16"/>
      <c r="P47" s="16"/>
      <c r="Q47" s="16"/>
      <c r="R47" s="16"/>
      <c r="S47" s="16"/>
      <c r="T47" s="16"/>
      <c r="U47" s="16"/>
      <c r="V47" s="16"/>
      <c r="W47" s="16"/>
      <c r="X47" s="16"/>
      <c r="Y47" s="16"/>
      <c r="Z47" s="16"/>
    </row>
    <row r="48" spans="3:27" x14ac:dyDescent="0.2">
      <c r="E48" s="4" t="s">
        <v>237</v>
      </c>
      <c r="F48" s="16">
        <f>F46-F47</f>
        <v>-9.7549999999999955</v>
      </c>
      <c r="G48" s="4" t="s">
        <v>171</v>
      </c>
      <c r="J48" s="16"/>
      <c r="K48" s="16"/>
      <c r="L48" s="16"/>
      <c r="M48" s="16"/>
      <c r="N48" s="16"/>
      <c r="O48" s="16"/>
      <c r="P48" s="16"/>
      <c r="Q48" s="16"/>
      <c r="R48" s="16"/>
      <c r="S48" s="16"/>
      <c r="T48" s="16"/>
      <c r="U48" s="16"/>
      <c r="V48" s="16"/>
      <c r="W48" s="16"/>
      <c r="X48" s="16"/>
      <c r="Y48" s="16"/>
      <c r="Z48" s="16"/>
    </row>
    <row r="49" spans="3:26" x14ac:dyDescent="0.2">
      <c r="J49" s="16"/>
      <c r="K49" s="16"/>
      <c r="L49" s="16"/>
      <c r="M49" s="16"/>
      <c r="N49" s="16"/>
      <c r="O49" s="16"/>
      <c r="P49" s="16"/>
      <c r="Q49" s="16"/>
      <c r="R49" s="16"/>
      <c r="S49" s="16"/>
      <c r="T49" s="16"/>
      <c r="U49" s="16"/>
      <c r="V49" s="16"/>
      <c r="W49" s="16"/>
      <c r="X49" s="16"/>
      <c r="Y49" s="16"/>
      <c r="Z49" s="16"/>
    </row>
    <row r="50" spans="3:26" s="22" customFormat="1" x14ac:dyDescent="0.2">
      <c r="E50" s="22" t="str">
        <f>Inputs!E103</f>
        <v>Maximum underperformance payment rates</v>
      </c>
      <c r="F50" s="26">
        <f>Inputs!F103</f>
        <v>-0.12</v>
      </c>
      <c r="G50" s="22" t="str">
        <f>Inputs!G103</f>
        <v>Percentage</v>
      </c>
    </row>
    <row r="51" spans="3:26" x14ac:dyDescent="0.2">
      <c r="E51" s="4" t="str">
        <f>E48</f>
        <v>Difference between median and minimum score</v>
      </c>
      <c r="F51" s="16">
        <f t="shared" ref="F51:G51" si="12">F48</f>
        <v>-9.7549999999999955</v>
      </c>
      <c r="G51" s="4" t="str">
        <f t="shared" si="12"/>
        <v>Number</v>
      </c>
      <c r="J51" s="16"/>
      <c r="K51" s="16"/>
      <c r="L51" s="16"/>
      <c r="M51" s="16"/>
      <c r="N51" s="16"/>
      <c r="O51" s="16"/>
      <c r="P51" s="16"/>
      <c r="Q51" s="16"/>
      <c r="R51" s="16"/>
      <c r="S51" s="16"/>
      <c r="T51" s="16"/>
      <c r="U51" s="16"/>
      <c r="V51" s="16"/>
      <c r="W51" s="16"/>
      <c r="X51" s="16"/>
      <c r="Y51" s="16"/>
      <c r="Z51" s="16"/>
    </row>
    <row r="52" spans="3:26" x14ac:dyDescent="0.2">
      <c r="E52" s="8" t="s">
        <v>238</v>
      </c>
      <c r="F52" s="188">
        <f>IF(F51 = 0, 0, F50 / F51)</f>
        <v>1.2301383905689396E-2</v>
      </c>
      <c r="G52" s="8" t="s">
        <v>199</v>
      </c>
      <c r="J52" s="16"/>
      <c r="K52" s="16"/>
      <c r="L52" s="16"/>
      <c r="M52" s="16"/>
      <c r="N52" s="16"/>
      <c r="O52" s="16"/>
      <c r="P52" s="16"/>
      <c r="Q52" s="16"/>
      <c r="R52" s="16"/>
      <c r="S52" s="16"/>
      <c r="T52" s="16"/>
      <c r="U52" s="16"/>
      <c r="V52" s="16"/>
      <c r="W52" s="16"/>
      <c r="X52" s="16"/>
      <c r="Y52" s="16"/>
      <c r="Z52" s="16"/>
    </row>
    <row r="53" spans="3:26" x14ac:dyDescent="0.2">
      <c r="J53" s="16"/>
      <c r="K53" s="16"/>
      <c r="L53" s="16"/>
      <c r="M53" s="16"/>
      <c r="N53" s="16"/>
      <c r="O53" s="16"/>
      <c r="P53" s="16"/>
      <c r="Q53" s="16"/>
      <c r="R53" s="16"/>
      <c r="S53" s="16"/>
      <c r="T53" s="16"/>
      <c r="U53" s="16"/>
      <c r="V53" s="16"/>
      <c r="W53" s="16"/>
      <c r="X53" s="16"/>
      <c r="Y53" s="16"/>
      <c r="Z53" s="16"/>
    </row>
    <row r="54" spans="3:26" x14ac:dyDescent="0.2">
      <c r="E54" s="4" t="str">
        <f>E44</f>
        <v>Difference from median - negative scores only</v>
      </c>
      <c r="G54" s="4" t="str">
        <f t="shared" ref="G54:Z54" si="13">G44</f>
        <v>Number</v>
      </c>
      <c r="J54" s="16">
        <f>J44</f>
        <v>-0.125</v>
      </c>
      <c r="K54" s="16">
        <f t="shared" si="13"/>
        <v>0</v>
      </c>
      <c r="L54" s="16">
        <f t="shared" si="13"/>
        <v>0</v>
      </c>
      <c r="M54" s="16">
        <f t="shared" si="13"/>
        <v>-2.6599999999999966</v>
      </c>
      <c r="N54" s="16">
        <f t="shared" si="13"/>
        <v>0</v>
      </c>
      <c r="O54" s="16">
        <f t="shared" si="13"/>
        <v>0</v>
      </c>
      <c r="P54" s="16">
        <f>P44</f>
        <v>0</v>
      </c>
      <c r="Q54" s="16">
        <f t="shared" si="13"/>
        <v>-2.4599999999999937</v>
      </c>
      <c r="R54" s="16">
        <f t="shared" si="13"/>
        <v>0</v>
      </c>
      <c r="S54" s="16">
        <f t="shared" si="13"/>
        <v>-6.0749999999999886</v>
      </c>
      <c r="T54" s="16">
        <f t="shared" si="13"/>
        <v>-1.5949999999999989</v>
      </c>
      <c r="U54" s="16">
        <f t="shared" si="13"/>
        <v>0</v>
      </c>
      <c r="V54" s="16">
        <f t="shared" si="13"/>
        <v>-5.8849999999999909</v>
      </c>
      <c r="W54" s="16">
        <f t="shared" si="13"/>
        <v>-9.7549999999999955</v>
      </c>
      <c r="X54" s="16">
        <f t="shared" si="13"/>
        <v>0</v>
      </c>
      <c r="Y54" s="16">
        <f t="shared" si="13"/>
        <v>0</v>
      </c>
      <c r="Z54" s="16">
        <f t="shared" si="13"/>
        <v>-7.4350000000000023</v>
      </c>
    </row>
    <row r="55" spans="3:26" x14ac:dyDescent="0.2">
      <c r="E55" s="4" t="str">
        <f>E52</f>
        <v>Underperformance rate - % per score</v>
      </c>
      <c r="F55" s="29">
        <f t="shared" ref="F55:G55" si="14">F52</f>
        <v>1.2301383905689396E-2</v>
      </c>
      <c r="G55" s="4" t="str">
        <f t="shared" si="14"/>
        <v>Percentage</v>
      </c>
    </row>
    <row r="56" spans="3:26" s="8" customFormat="1" x14ac:dyDescent="0.2">
      <c r="E56" s="8" t="s">
        <v>239</v>
      </c>
      <c r="G56" s="8" t="s">
        <v>199</v>
      </c>
      <c r="J56" s="27">
        <f>J54*$F55</f>
        <v>-1.5376729882111745E-3</v>
      </c>
      <c r="K56" s="27">
        <f t="shared" ref="K56:Y56" si="15">K54*$F55</f>
        <v>0</v>
      </c>
      <c r="L56" s="27">
        <f t="shared" si="15"/>
        <v>0</v>
      </c>
      <c r="M56" s="27">
        <f t="shared" si="15"/>
        <v>-3.2721681189133753E-2</v>
      </c>
      <c r="N56" s="27">
        <f>N54*$F55</f>
        <v>0</v>
      </c>
      <c r="O56" s="27">
        <f t="shared" si="15"/>
        <v>0</v>
      </c>
      <c r="P56" s="27">
        <f t="shared" si="15"/>
        <v>0</v>
      </c>
      <c r="Q56" s="27">
        <f t="shared" si="15"/>
        <v>-3.0261404407995837E-2</v>
      </c>
      <c r="R56" s="27">
        <f t="shared" si="15"/>
        <v>0</v>
      </c>
      <c r="S56" s="27">
        <f t="shared" si="15"/>
        <v>-7.4730907227062937E-2</v>
      </c>
      <c r="T56" s="27">
        <f t="shared" si="15"/>
        <v>-1.9620707329574574E-2</v>
      </c>
      <c r="U56" s="27">
        <f t="shared" si="15"/>
        <v>0</v>
      </c>
      <c r="V56" s="27">
        <f t="shared" si="15"/>
        <v>-7.2393644284981976E-2</v>
      </c>
      <c r="W56" s="27">
        <f t="shared" si="15"/>
        <v>-0.12</v>
      </c>
      <c r="X56" s="27">
        <f t="shared" si="15"/>
        <v>0</v>
      </c>
      <c r="Y56" s="27">
        <f t="shared" si="15"/>
        <v>0</v>
      </c>
      <c r="Z56" s="27">
        <f>Z54*$F55</f>
        <v>-9.1460789338800683E-2</v>
      </c>
    </row>
    <row r="57" spans="3:26" x14ac:dyDescent="0.2">
      <c r="J57" s="16"/>
      <c r="K57" s="16"/>
      <c r="L57" s="16"/>
      <c r="M57" s="16"/>
      <c r="N57" s="16"/>
      <c r="O57" s="16"/>
      <c r="P57" s="16"/>
      <c r="Q57" s="16"/>
      <c r="R57" s="16"/>
      <c r="S57" s="16"/>
      <c r="T57" s="16"/>
      <c r="U57" s="16"/>
      <c r="V57" s="16"/>
      <c r="W57" s="16"/>
      <c r="X57" s="16"/>
      <c r="Y57" s="16"/>
      <c r="Z57" s="16"/>
    </row>
    <row r="58" spans="3:26" x14ac:dyDescent="0.2">
      <c r="C58" s="25" t="s">
        <v>240</v>
      </c>
      <c r="J58" s="16"/>
      <c r="K58" s="16"/>
      <c r="L58" s="16"/>
      <c r="M58" s="16"/>
      <c r="N58" s="16"/>
      <c r="O58" s="16"/>
      <c r="P58" s="16"/>
      <c r="Q58" s="16"/>
      <c r="R58" s="16"/>
      <c r="S58" s="16"/>
      <c r="T58" s="16"/>
      <c r="U58" s="16"/>
      <c r="V58" s="16"/>
      <c r="W58" s="16"/>
      <c r="X58" s="16"/>
      <c r="Y58" s="16"/>
      <c r="Z58" s="16"/>
    </row>
    <row r="59" spans="3:26" x14ac:dyDescent="0.2">
      <c r="D59" s="10"/>
      <c r="E59" s="4" t="str">
        <f>E23</f>
        <v>Difference from median</v>
      </c>
      <c r="G59" s="4" t="str">
        <f t="shared" ref="G59:Z59" si="16">G23</f>
        <v>Number</v>
      </c>
      <c r="J59" s="16">
        <f t="shared" si="16"/>
        <v>-0.125</v>
      </c>
      <c r="K59" s="16">
        <f t="shared" si="16"/>
        <v>4.5000000000015916E-2</v>
      </c>
      <c r="L59" s="16">
        <f t="shared" si="16"/>
        <v>0</v>
      </c>
      <c r="M59" s="16">
        <f t="shared" si="16"/>
        <v>-2.6599999999999966</v>
      </c>
      <c r="N59" s="16">
        <f t="shared" si="16"/>
        <v>1.2050000000000125</v>
      </c>
      <c r="O59" s="16">
        <f t="shared" si="16"/>
        <v>2.2800000000000011</v>
      </c>
      <c r="P59" s="16">
        <f t="shared" si="16"/>
        <v>2.8149999999999977</v>
      </c>
      <c r="Q59" s="16">
        <f t="shared" si="16"/>
        <v>-2.4599999999999937</v>
      </c>
      <c r="R59" s="16">
        <f t="shared" si="16"/>
        <v>2.5300000000000011</v>
      </c>
      <c r="S59" s="16">
        <f t="shared" si="16"/>
        <v>-6.0749999999999886</v>
      </c>
      <c r="T59" s="16">
        <f t="shared" si="16"/>
        <v>-1.5949999999999989</v>
      </c>
      <c r="U59" s="16">
        <f t="shared" si="16"/>
        <v>0.79500000000000171</v>
      </c>
      <c r="V59" s="16">
        <f t="shared" si="16"/>
        <v>-5.8849999999999909</v>
      </c>
      <c r="W59" s="16">
        <f t="shared" si="16"/>
        <v>-9.7549999999999955</v>
      </c>
      <c r="X59" s="16">
        <f t="shared" si="16"/>
        <v>1.8850000000000051</v>
      </c>
      <c r="Y59" s="16">
        <f t="shared" si="16"/>
        <v>0.36500000000000909</v>
      </c>
      <c r="Z59" s="16">
        <f t="shared" si="16"/>
        <v>-7.4350000000000023</v>
      </c>
    </row>
    <row r="60" spans="3:26" s="8" customFormat="1" x14ac:dyDescent="0.2">
      <c r="D60" s="20"/>
      <c r="E60" s="8" t="s">
        <v>241</v>
      </c>
      <c r="G60" s="8" t="s">
        <v>199</v>
      </c>
      <c r="J60" s="27" t="b">
        <f>IF(J59=0,0%)</f>
        <v>0</v>
      </c>
      <c r="K60" s="27" t="b">
        <f t="shared" ref="K60:Z60" si="17">IF(K59=0,0%)</f>
        <v>0</v>
      </c>
      <c r="L60" s="27">
        <f t="shared" si="17"/>
        <v>0</v>
      </c>
      <c r="M60" s="27" t="b">
        <f t="shared" si="17"/>
        <v>0</v>
      </c>
      <c r="N60" s="27" t="b">
        <f t="shared" si="17"/>
        <v>0</v>
      </c>
      <c r="O60" s="27" t="b">
        <f t="shared" si="17"/>
        <v>0</v>
      </c>
      <c r="P60" s="27" t="b">
        <f t="shared" si="17"/>
        <v>0</v>
      </c>
      <c r="Q60" s="27" t="b">
        <f t="shared" si="17"/>
        <v>0</v>
      </c>
      <c r="R60" s="27" t="b">
        <f t="shared" si="17"/>
        <v>0</v>
      </c>
      <c r="S60" s="27" t="b">
        <f t="shared" si="17"/>
        <v>0</v>
      </c>
      <c r="T60" s="27" t="b">
        <f t="shared" si="17"/>
        <v>0</v>
      </c>
      <c r="U60" s="27" t="b">
        <f t="shared" si="17"/>
        <v>0</v>
      </c>
      <c r="V60" s="27" t="b">
        <f t="shared" si="17"/>
        <v>0</v>
      </c>
      <c r="W60" s="27" t="b">
        <f t="shared" si="17"/>
        <v>0</v>
      </c>
      <c r="X60" s="27" t="b">
        <f t="shared" si="17"/>
        <v>0</v>
      </c>
      <c r="Y60" s="27" t="b">
        <f t="shared" si="17"/>
        <v>0</v>
      </c>
      <c r="Z60" s="27" t="b">
        <f t="shared" si="17"/>
        <v>0</v>
      </c>
    </row>
    <row r="61" spans="3:26" s="30" customFormat="1" x14ac:dyDescent="0.2">
      <c r="D61" s="31"/>
      <c r="J61" s="32"/>
      <c r="K61" s="32"/>
      <c r="L61" s="32"/>
      <c r="M61" s="32"/>
      <c r="N61" s="32"/>
      <c r="O61" s="32"/>
      <c r="P61" s="32"/>
      <c r="Q61" s="32"/>
      <c r="R61" s="32"/>
      <c r="S61" s="32"/>
      <c r="T61" s="32"/>
      <c r="U61" s="32"/>
      <c r="V61" s="32"/>
      <c r="W61" s="32"/>
      <c r="X61" s="32"/>
      <c r="Y61" s="32"/>
      <c r="Z61" s="32"/>
    </row>
    <row r="62" spans="3:26" s="30" customFormat="1" x14ac:dyDescent="0.2">
      <c r="C62" s="33" t="s">
        <v>242</v>
      </c>
      <c r="D62" s="31"/>
      <c r="J62" s="32"/>
      <c r="K62" s="32"/>
      <c r="L62" s="32"/>
      <c r="M62" s="32"/>
      <c r="N62" s="32"/>
      <c r="O62" s="32"/>
      <c r="P62" s="32"/>
      <c r="Q62" s="32"/>
      <c r="R62" s="32"/>
      <c r="S62" s="32"/>
      <c r="T62" s="32"/>
      <c r="U62" s="32"/>
      <c r="V62" s="32"/>
      <c r="W62" s="32"/>
      <c r="X62" s="32"/>
      <c r="Y62" s="32"/>
      <c r="Z62" s="32"/>
    </row>
    <row r="63" spans="3:26" s="8" customFormat="1" x14ac:dyDescent="0.2">
      <c r="D63" s="20"/>
      <c r="E63" s="8" t="str">
        <f>E40</f>
        <v>Company's standard outperformance rate</v>
      </c>
      <c r="G63" s="8" t="str">
        <f t="shared" ref="G63:Z63" si="18">G40</f>
        <v>Percentage</v>
      </c>
      <c r="J63" s="27">
        <f>J40</f>
        <v>0</v>
      </c>
      <c r="K63" s="27">
        <f t="shared" si="18"/>
        <v>9.5914742451188532E-4</v>
      </c>
      <c r="L63" s="27">
        <f t="shared" si="18"/>
        <v>0</v>
      </c>
      <c r="M63" s="27">
        <f t="shared" si="18"/>
        <v>0</v>
      </c>
      <c r="N63" s="27">
        <f t="shared" si="18"/>
        <v>2.5683836589698333E-2</v>
      </c>
      <c r="O63" s="27">
        <f t="shared" si="18"/>
        <v>4.8596802841918363E-2</v>
      </c>
      <c r="P63" s="27">
        <f t="shared" si="18"/>
        <v>6.0000000000000005E-2</v>
      </c>
      <c r="Q63" s="27">
        <f t="shared" si="18"/>
        <v>0</v>
      </c>
      <c r="R63" s="27">
        <f t="shared" si="18"/>
        <v>5.3925399644760286E-2</v>
      </c>
      <c r="S63" s="27">
        <f t="shared" si="18"/>
        <v>0</v>
      </c>
      <c r="T63" s="27">
        <f t="shared" si="18"/>
        <v>0</v>
      </c>
      <c r="U63" s="27">
        <f t="shared" si="18"/>
        <v>1.6944937833037351E-2</v>
      </c>
      <c r="V63" s="27">
        <f t="shared" si="18"/>
        <v>0</v>
      </c>
      <c r="W63" s="27">
        <f t="shared" si="18"/>
        <v>0</v>
      </c>
      <c r="X63" s="27">
        <f t="shared" si="18"/>
        <v>4.0177619893428204E-2</v>
      </c>
      <c r="Y63" s="27">
        <f t="shared" si="18"/>
        <v>7.7797513321494014E-3</v>
      </c>
      <c r="Z63" s="27">
        <f t="shared" si="18"/>
        <v>0</v>
      </c>
    </row>
    <row r="64" spans="3:26" s="8" customFormat="1" x14ac:dyDescent="0.2">
      <c r="D64" s="20"/>
      <c r="E64" s="8" t="str">
        <f>E56</f>
        <v>Company's standard underperformance rate</v>
      </c>
      <c r="G64" s="8" t="str">
        <f t="shared" ref="G64:Z64" si="19">G56</f>
        <v>Percentage</v>
      </c>
      <c r="J64" s="27">
        <f>J56</f>
        <v>-1.5376729882111745E-3</v>
      </c>
      <c r="K64" s="27">
        <f t="shared" si="19"/>
        <v>0</v>
      </c>
      <c r="L64" s="27">
        <f t="shared" si="19"/>
        <v>0</v>
      </c>
      <c r="M64" s="27">
        <f t="shared" si="19"/>
        <v>-3.2721681189133753E-2</v>
      </c>
      <c r="N64" s="27">
        <f t="shared" si="19"/>
        <v>0</v>
      </c>
      <c r="O64" s="27">
        <f t="shared" si="19"/>
        <v>0</v>
      </c>
      <c r="P64" s="27">
        <f t="shared" si="19"/>
        <v>0</v>
      </c>
      <c r="Q64" s="27">
        <f t="shared" si="19"/>
        <v>-3.0261404407995837E-2</v>
      </c>
      <c r="R64" s="27">
        <f t="shared" si="19"/>
        <v>0</v>
      </c>
      <c r="S64" s="27">
        <f t="shared" si="19"/>
        <v>-7.4730907227062937E-2</v>
      </c>
      <c r="T64" s="27">
        <f t="shared" si="19"/>
        <v>-1.9620707329574574E-2</v>
      </c>
      <c r="U64" s="27">
        <f t="shared" si="19"/>
        <v>0</v>
      </c>
      <c r="V64" s="27">
        <f t="shared" si="19"/>
        <v>-7.2393644284981976E-2</v>
      </c>
      <c r="W64" s="27">
        <f t="shared" si="19"/>
        <v>-0.12</v>
      </c>
      <c r="X64" s="27">
        <f t="shared" si="19"/>
        <v>0</v>
      </c>
      <c r="Y64" s="27">
        <f t="shared" si="19"/>
        <v>0</v>
      </c>
      <c r="Z64" s="27">
        <f t="shared" si="19"/>
        <v>-9.1460789338800683E-2</v>
      </c>
    </row>
    <row r="65" spans="1:26" s="8" customFormat="1" x14ac:dyDescent="0.2">
      <c r="D65" s="20"/>
      <c r="E65" s="8" t="str">
        <f>E60</f>
        <v>Median company's payment rate</v>
      </c>
      <c r="G65" s="8" t="str">
        <f t="shared" ref="G65:Z65" si="20">G60</f>
        <v>Percentage</v>
      </c>
      <c r="J65" s="27" t="b">
        <f t="shared" si="20"/>
        <v>0</v>
      </c>
      <c r="K65" s="27" t="b">
        <f t="shared" si="20"/>
        <v>0</v>
      </c>
      <c r="L65" s="27">
        <f t="shared" si="20"/>
        <v>0</v>
      </c>
      <c r="M65" s="27" t="b">
        <f t="shared" si="20"/>
        <v>0</v>
      </c>
      <c r="N65" s="27" t="b">
        <f t="shared" si="20"/>
        <v>0</v>
      </c>
      <c r="O65" s="27" t="b">
        <f t="shared" si="20"/>
        <v>0</v>
      </c>
      <c r="P65" s="27" t="b">
        <f t="shared" si="20"/>
        <v>0</v>
      </c>
      <c r="Q65" s="27" t="b">
        <f t="shared" si="20"/>
        <v>0</v>
      </c>
      <c r="R65" s="27" t="b">
        <f t="shared" si="20"/>
        <v>0</v>
      </c>
      <c r="S65" s="27" t="b">
        <f t="shared" si="20"/>
        <v>0</v>
      </c>
      <c r="T65" s="27" t="b">
        <f t="shared" si="20"/>
        <v>0</v>
      </c>
      <c r="U65" s="27" t="b">
        <f t="shared" si="20"/>
        <v>0</v>
      </c>
      <c r="V65" s="27" t="b">
        <f t="shared" si="20"/>
        <v>0</v>
      </c>
      <c r="W65" s="27" t="b">
        <f t="shared" si="20"/>
        <v>0</v>
      </c>
      <c r="X65" s="27" t="b">
        <f t="shared" si="20"/>
        <v>0</v>
      </c>
      <c r="Y65" s="27" t="b">
        <f t="shared" si="20"/>
        <v>0</v>
      </c>
      <c r="Z65" s="27" t="b">
        <f t="shared" si="20"/>
        <v>0</v>
      </c>
    </row>
    <row r="66" spans="1:26" s="30" customFormat="1" x14ac:dyDescent="0.2">
      <c r="D66" s="31"/>
      <c r="E66" s="30" t="s">
        <v>243</v>
      </c>
      <c r="G66" s="30" t="s">
        <v>199</v>
      </c>
      <c r="J66" s="32">
        <f>SUM(J63:J65)</f>
        <v>-1.5376729882111745E-3</v>
      </c>
      <c r="K66" s="32">
        <f t="shared" ref="K66:Z66" si="21">SUM(K63:K65)</f>
        <v>9.5914742451188532E-4</v>
      </c>
      <c r="L66" s="32">
        <f t="shared" si="21"/>
        <v>0</v>
      </c>
      <c r="M66" s="32">
        <f t="shared" si="21"/>
        <v>-3.2721681189133753E-2</v>
      </c>
      <c r="N66" s="32">
        <f t="shared" si="21"/>
        <v>2.5683836589698333E-2</v>
      </c>
      <c r="O66" s="32">
        <f t="shared" si="21"/>
        <v>4.8596802841918363E-2</v>
      </c>
      <c r="P66" s="32">
        <f t="shared" si="21"/>
        <v>6.0000000000000005E-2</v>
      </c>
      <c r="Q66" s="32">
        <f t="shared" si="21"/>
        <v>-3.0261404407995837E-2</v>
      </c>
      <c r="R66" s="32">
        <f t="shared" si="21"/>
        <v>5.3925399644760286E-2</v>
      </c>
      <c r="S66" s="32">
        <f t="shared" si="21"/>
        <v>-7.4730907227062937E-2</v>
      </c>
      <c r="T66" s="32">
        <f t="shared" si="21"/>
        <v>-1.9620707329574574E-2</v>
      </c>
      <c r="U66" s="32">
        <f t="shared" si="21"/>
        <v>1.6944937833037351E-2</v>
      </c>
      <c r="V66" s="32">
        <f t="shared" si="21"/>
        <v>-7.2393644284981976E-2</v>
      </c>
      <c r="W66" s="32">
        <f t="shared" si="21"/>
        <v>-0.12</v>
      </c>
      <c r="X66" s="32">
        <f t="shared" si="21"/>
        <v>4.0177619893428204E-2</v>
      </c>
      <c r="Y66" s="32">
        <f t="shared" si="21"/>
        <v>7.7797513321494014E-3</v>
      </c>
      <c r="Z66" s="32">
        <f t="shared" si="21"/>
        <v>-9.1460789338800683E-2</v>
      </c>
    </row>
    <row r="67" spans="1:26" x14ac:dyDescent="0.2">
      <c r="C67" s="11"/>
    </row>
    <row r="68" spans="1:26" s="2" customFormat="1" ht="13.5" x14ac:dyDescent="0.25">
      <c r="A68" s="2" t="s">
        <v>42</v>
      </c>
    </row>
  </sheetData>
  <pageMargins left="0.70866141732283472" right="0.70866141732283472" top="0.74803149606299213" bottom="0.74803149606299213" header="0.31496062992125984" footer="0.31496062992125984"/>
  <pageSetup paperSize="8" scale="64" fitToHeight="0" orientation="landscape" r:id="rId1"/>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2B55-F1DD-4F1F-A405-DF1790055531}">
  <sheetPr>
    <tabColor theme="5" tint="0.79998168889431442"/>
    <pageSetUpPr fitToPage="1"/>
  </sheetPr>
  <dimension ref="A1:Z67"/>
  <sheetViews>
    <sheetView zoomScale="80" zoomScaleNormal="80" zoomScaleSheetLayoutView="100" workbookViewId="0">
      <selection activeCell="H31" sqref="H31"/>
    </sheetView>
  </sheetViews>
  <sheetFormatPr defaultColWidth="9.140625" defaultRowHeight="12.75" x14ac:dyDescent="0.2"/>
  <cols>
    <col min="1" max="4" width="2.7109375" style="4" customWidth="1"/>
    <col min="5" max="5" width="60.7109375" style="4" customWidth="1"/>
    <col min="6" max="8" width="20.7109375" style="4" customWidth="1"/>
    <col min="9" max="9" width="2.7109375" style="4" customWidth="1"/>
    <col min="10" max="26" width="9.140625" style="4" customWidth="1"/>
    <col min="27" max="27" width="2.7109375" style="4" customWidth="1"/>
    <col min="28" max="16384" width="9.140625" style="4"/>
  </cols>
  <sheetData>
    <row r="1" spans="1:26" s="3" customFormat="1" ht="30" x14ac:dyDescent="0.4">
      <c r="A1" s="3" t="str">
        <f ca="1" xml:space="preserve"> RIGHT(CELL("filename", $A$1), LEN(CELL("filename", $A$1)) - SEARCH("]", CELL("filename", $A$1)))</f>
        <v>Performance payments</v>
      </c>
      <c r="F1" s="3" t="str">
        <f xml:space="preserve"> Inputs!$F$1</f>
        <v>2023-24</v>
      </c>
    </row>
    <row r="2" spans="1:26" x14ac:dyDescent="0.2">
      <c r="F2" s="7" t="s">
        <v>177</v>
      </c>
      <c r="G2" s="7" t="s">
        <v>150</v>
      </c>
      <c r="H2" s="7" t="s">
        <v>178</v>
      </c>
      <c r="I2" s="10"/>
    </row>
    <row r="3" spans="1:26" s="1" customFormat="1" ht="13.5" x14ac:dyDescent="0.25">
      <c r="A3" s="1" t="s">
        <v>244</v>
      </c>
    </row>
    <row r="4" spans="1:26" s="8" customFormat="1" x14ac:dyDescent="0.2"/>
    <row r="5" spans="1:26" s="22" customFormat="1" x14ac:dyDescent="0.2">
      <c r="E5" s="22" t="str">
        <f>Inputs!E89</f>
        <v>Company names</v>
      </c>
      <c r="G5" s="22" t="str">
        <f>Inputs!G89</f>
        <v>Text</v>
      </c>
      <c r="J5" s="22" t="str">
        <f>Inputs!J89</f>
        <v>Affinity Water</v>
      </c>
      <c r="K5" s="22" t="str">
        <f>Inputs!K89</f>
        <v>Anglian Water</v>
      </c>
      <c r="L5" s="22" t="str">
        <f>Inputs!L89</f>
        <v>Bristol Water</v>
      </c>
      <c r="M5" s="22" t="str">
        <f>Inputs!M89</f>
        <v>Dŵr Cymru</v>
      </c>
      <c r="N5" s="22" t="str">
        <f>Inputs!N89</f>
        <v>Hafren Dyfrdwy</v>
      </c>
      <c r="O5" s="22" t="str">
        <f>Inputs!O89</f>
        <v>Northumbrian Water</v>
      </c>
      <c r="P5" s="22" t="str">
        <f>Inputs!P89</f>
        <v>Portsmouth Water</v>
      </c>
      <c r="Q5" s="22" t="str">
        <f>Inputs!Q89</f>
        <v>SES Water</v>
      </c>
      <c r="R5" s="22" t="str">
        <f>Inputs!R89</f>
        <v>Severn Trent Water</v>
      </c>
      <c r="S5" s="22" t="str">
        <f>Inputs!S89</f>
        <v>South East Water</v>
      </c>
      <c r="T5" s="22" t="str">
        <f>Inputs!T89</f>
        <v>South Staffs Water</v>
      </c>
      <c r="U5" s="22" t="str">
        <f>Inputs!U89</f>
        <v>South West Water</v>
      </c>
      <c r="V5" s="22" t="str">
        <f>Inputs!V89</f>
        <v>Southern Water</v>
      </c>
      <c r="W5" s="22" t="str">
        <f>Inputs!W89</f>
        <v>Thames Water</v>
      </c>
      <c r="X5" s="22" t="str">
        <f>Inputs!X89</f>
        <v>United Utilities</v>
      </c>
      <c r="Y5" s="22" t="str">
        <f>Inputs!Y89</f>
        <v>Wessex Water</v>
      </c>
      <c r="Z5" s="22" t="str">
        <f>Inputs!Z89</f>
        <v>Yorkshire Water</v>
      </c>
    </row>
    <row r="6" spans="1:26" s="22" customFormat="1" x14ac:dyDescent="0.2">
      <c r="E6" s="22" t="str">
        <f>'Payment rates'!E10</f>
        <v>D-MeX score</v>
      </c>
      <c r="G6" s="22" t="str">
        <f>'Payment rates'!G10</f>
        <v>Number</v>
      </c>
      <c r="J6" s="23">
        <f>'Payment rates'!J10</f>
        <v>89.504999999999995</v>
      </c>
      <c r="K6" s="23">
        <f>'Payment rates'!K10</f>
        <v>89.675000000000011</v>
      </c>
      <c r="L6" s="23">
        <f>'Payment rates'!L10</f>
        <v>89.63</v>
      </c>
      <c r="M6" s="23">
        <f>'Payment rates'!M10</f>
        <v>86.97</v>
      </c>
      <c r="N6" s="23">
        <f>'Payment rates'!N10</f>
        <v>90.835000000000008</v>
      </c>
      <c r="O6" s="23">
        <f>'Payment rates'!O10</f>
        <v>91.91</v>
      </c>
      <c r="P6" s="23">
        <f>'Payment rates'!P10</f>
        <v>92.444999999999993</v>
      </c>
      <c r="Q6" s="23">
        <f>'Payment rates'!Q10</f>
        <v>87.17</v>
      </c>
      <c r="R6" s="23">
        <f>'Payment rates'!R10</f>
        <v>92.16</v>
      </c>
      <c r="S6" s="23">
        <f>'Payment rates'!S10</f>
        <v>83.555000000000007</v>
      </c>
      <c r="T6" s="23">
        <f>'Payment rates'!T10</f>
        <v>88.034999999999997</v>
      </c>
      <c r="U6" s="23">
        <f>'Payment rates'!U10</f>
        <v>90.424999999999997</v>
      </c>
      <c r="V6" s="23">
        <f>'Payment rates'!V10</f>
        <v>83.745000000000005</v>
      </c>
      <c r="W6" s="23">
        <f>'Payment rates'!W10</f>
        <v>79.875</v>
      </c>
      <c r="X6" s="23">
        <f>'Payment rates'!X10</f>
        <v>91.515000000000001</v>
      </c>
      <c r="Y6" s="23">
        <f>'Payment rates'!Y10</f>
        <v>89.995000000000005</v>
      </c>
      <c r="Z6" s="23">
        <f>'Payment rates'!Z10</f>
        <v>82.194999999999993</v>
      </c>
    </row>
    <row r="8" spans="1:26" s="22" customFormat="1" x14ac:dyDescent="0.2">
      <c r="E8" s="22" t="str">
        <f>Inputs!E92</f>
        <v>Developer services revenue - water</v>
      </c>
      <c r="G8" s="22" t="str">
        <f>Inputs!G92</f>
        <v>£m (nominal)</v>
      </c>
      <c r="J8" s="34">
        <f>Inputs!J92</f>
        <v>13.98</v>
      </c>
      <c r="K8" s="34">
        <f>Inputs!K92</f>
        <v>34.963999999999999</v>
      </c>
      <c r="L8" s="34">
        <f>Inputs!L92</f>
        <v>3.22</v>
      </c>
      <c r="M8" s="34">
        <f>Inputs!M92</f>
        <v>30.189</v>
      </c>
      <c r="N8" s="34">
        <f>Inputs!N92</f>
        <v>0.72899999999999998</v>
      </c>
      <c r="O8" s="34">
        <f>Inputs!O92</f>
        <v>14.170999999999999</v>
      </c>
      <c r="P8" s="34">
        <f>Inputs!P92</f>
        <v>2.198</v>
      </c>
      <c r="Q8" s="34">
        <f>Inputs!Q92</f>
        <v>3.2919999999999998</v>
      </c>
      <c r="R8" s="34">
        <f>Inputs!R92</f>
        <v>45.436</v>
      </c>
      <c r="S8" s="34">
        <f>Inputs!S92</f>
        <v>10.955</v>
      </c>
      <c r="T8" s="34">
        <f>Inputs!T92</f>
        <v>13.444000000000001</v>
      </c>
      <c r="U8" s="34">
        <f>Inputs!U92</f>
        <v>9.9640000000000004</v>
      </c>
      <c r="V8" s="34">
        <f>Inputs!V92</f>
        <v>12.993</v>
      </c>
      <c r="W8" s="34">
        <f>Inputs!W92</f>
        <v>39.652999999999999</v>
      </c>
      <c r="X8" s="34">
        <f>Inputs!X92</f>
        <v>25.274815780407987</v>
      </c>
      <c r="Y8" s="34">
        <f>Inputs!Y92</f>
        <v>4.26</v>
      </c>
      <c r="Z8" s="34">
        <f>Inputs!Z92</f>
        <v>12.087</v>
      </c>
    </row>
    <row r="9" spans="1:26" s="22" customFormat="1" x14ac:dyDescent="0.2">
      <c r="E9" s="22" t="str">
        <f>'Payment rates'!E66</f>
        <v>Company's performance payment rate</v>
      </c>
      <c r="G9" s="22" t="str">
        <f>'Payment rates'!G66</f>
        <v>Percentage</v>
      </c>
      <c r="J9" s="26">
        <f>'Payment rates'!J66</f>
        <v>-1.5376729882111745E-3</v>
      </c>
      <c r="K9" s="26">
        <f>'Payment rates'!K66</f>
        <v>9.5914742451188532E-4</v>
      </c>
      <c r="L9" s="26">
        <f>'Payment rates'!L66</f>
        <v>0</v>
      </c>
      <c r="M9" s="26">
        <f>'Payment rates'!M66</f>
        <v>-3.2721681189133753E-2</v>
      </c>
      <c r="N9" s="26">
        <f>'Payment rates'!N66</f>
        <v>2.5683836589698333E-2</v>
      </c>
      <c r="O9" s="26">
        <f>'Payment rates'!O66</f>
        <v>4.8596802841918363E-2</v>
      </c>
      <c r="P9" s="26">
        <f>'Payment rates'!P66</f>
        <v>6.0000000000000005E-2</v>
      </c>
      <c r="Q9" s="26">
        <f>'Payment rates'!Q66</f>
        <v>-3.0261404407995837E-2</v>
      </c>
      <c r="R9" s="26">
        <f>'Payment rates'!R66</f>
        <v>5.3925399644760286E-2</v>
      </c>
      <c r="S9" s="26">
        <f>'Payment rates'!S66</f>
        <v>-7.4730907227062937E-2</v>
      </c>
      <c r="T9" s="26">
        <f>'Payment rates'!T66</f>
        <v>-1.9620707329574574E-2</v>
      </c>
      <c r="U9" s="26">
        <f>'Payment rates'!U66</f>
        <v>1.6944937833037351E-2</v>
      </c>
      <c r="V9" s="26">
        <f>'Payment rates'!V66</f>
        <v>-7.2393644284981976E-2</v>
      </c>
      <c r="W9" s="26">
        <f>'Payment rates'!W66</f>
        <v>-0.12</v>
      </c>
      <c r="X9" s="26">
        <f>'Payment rates'!X66</f>
        <v>4.0177619893428204E-2</v>
      </c>
      <c r="Y9" s="26">
        <f>'Payment rates'!Y66</f>
        <v>7.7797513321494014E-3</v>
      </c>
      <c r="Z9" s="26">
        <f>'Payment rates'!Z66</f>
        <v>-9.1460789338800683E-2</v>
      </c>
    </row>
    <row r="10" spans="1:26" s="8" customFormat="1" x14ac:dyDescent="0.2">
      <c r="E10" s="8" t="s">
        <v>245</v>
      </c>
      <c r="G10" s="8" t="s">
        <v>186</v>
      </c>
      <c r="J10" s="35">
        <f>J8*J9</f>
        <v>-2.1496668375192221E-2</v>
      </c>
      <c r="K10" s="35">
        <f>K8*K9</f>
        <v>3.3535630550633556E-2</v>
      </c>
      <c r="L10" s="35">
        <f t="shared" ref="L10:Z10" si="0">L8*L9</f>
        <v>0</v>
      </c>
      <c r="M10" s="35">
        <f t="shared" si="0"/>
        <v>-0.98783483341875888</v>
      </c>
      <c r="N10" s="35">
        <f t="shared" si="0"/>
        <v>1.8723516873890084E-2</v>
      </c>
      <c r="O10" s="35">
        <f>O8*O9</f>
        <v>0.68866529307282509</v>
      </c>
      <c r="P10" s="35">
        <f t="shared" si="0"/>
        <v>0.13188</v>
      </c>
      <c r="Q10" s="35">
        <f t="shared" si="0"/>
        <v>-9.9620543311122287E-2</v>
      </c>
      <c r="R10" s="35">
        <f>R8*R9</f>
        <v>2.4501544582593282</v>
      </c>
      <c r="S10" s="35">
        <f t="shared" si="0"/>
        <v>-0.81867708867247446</v>
      </c>
      <c r="T10" s="35">
        <f t="shared" si="0"/>
        <v>-0.26378078933880056</v>
      </c>
      <c r="U10" s="35">
        <f t="shared" si="0"/>
        <v>0.16883936056838417</v>
      </c>
      <c r="V10" s="35">
        <f t="shared" si="0"/>
        <v>-0.94061062019477082</v>
      </c>
      <c r="W10" s="35">
        <f t="shared" si="0"/>
        <v>-4.7583599999999997</v>
      </c>
      <c r="X10" s="35">
        <f t="shared" si="0"/>
        <v>1.0154819413016531</v>
      </c>
      <c r="Y10" s="35">
        <f t="shared" si="0"/>
        <v>3.3141740674956448E-2</v>
      </c>
      <c r="Z10" s="35">
        <f t="shared" si="0"/>
        <v>-1.1054865607380839</v>
      </c>
    </row>
    <row r="11" spans="1:26" x14ac:dyDescent="0.2">
      <c r="J11" s="17"/>
      <c r="K11" s="17"/>
      <c r="L11" s="17"/>
      <c r="M11" s="17"/>
      <c r="N11" s="17"/>
      <c r="O11" s="17"/>
      <c r="P11" s="17"/>
      <c r="Q11" s="17"/>
      <c r="R11" s="17"/>
      <c r="S11" s="17"/>
      <c r="T11" s="17"/>
      <c r="U11" s="17"/>
      <c r="V11" s="17"/>
      <c r="W11" s="17"/>
      <c r="X11" s="17"/>
      <c r="Y11" s="17"/>
      <c r="Z11" s="17"/>
    </row>
    <row r="12" spans="1:26" s="22" customFormat="1" x14ac:dyDescent="0.2">
      <c r="E12" s="22" t="str">
        <f>Inputs!E93</f>
        <v>Developer services revenue - wastewater</v>
      </c>
      <c r="G12" s="22" t="str">
        <f>Inputs!G93</f>
        <v>£m (nominal)</v>
      </c>
      <c r="J12" s="34">
        <f>Inputs!J93</f>
        <v>0</v>
      </c>
      <c r="K12" s="34">
        <f>Inputs!K93</f>
        <v>20.181000000000001</v>
      </c>
      <c r="L12" s="34" t="str">
        <f>Inputs!L93</f>
        <v>See RAG guidance</v>
      </c>
      <c r="M12" s="34">
        <f>Inputs!M93</f>
        <v>6.4349999999999996</v>
      </c>
      <c r="N12" s="34">
        <f>Inputs!N93</f>
        <v>0.13800000000000001</v>
      </c>
      <c r="O12" s="34">
        <f>Inputs!O93</f>
        <v>1.9330000000000001</v>
      </c>
      <c r="P12" s="34">
        <f>Inputs!P93</f>
        <v>0</v>
      </c>
      <c r="Q12" s="34">
        <f>Inputs!Q93</f>
        <v>0</v>
      </c>
      <c r="R12" s="34">
        <f>Inputs!R93</f>
        <v>20.873000000000001</v>
      </c>
      <c r="S12" s="34">
        <f>Inputs!S93</f>
        <v>0</v>
      </c>
      <c r="T12" s="34">
        <f>Inputs!T93</f>
        <v>0</v>
      </c>
      <c r="U12" s="34">
        <f>Inputs!U93</f>
        <v>6.3680000000000003</v>
      </c>
      <c r="V12" s="34">
        <f>Inputs!V93</f>
        <v>16.582999999999998</v>
      </c>
      <c r="W12" s="34">
        <f>Inputs!W93</f>
        <v>17.271000000000001</v>
      </c>
      <c r="X12" s="34">
        <f>Inputs!X93</f>
        <v>8.1722908700000012</v>
      </c>
      <c r="Y12" s="34">
        <f>Inputs!Y93</f>
        <v>4.4340000000000002</v>
      </c>
      <c r="Z12" s="34">
        <f>Inputs!Z93</f>
        <v>10.397</v>
      </c>
    </row>
    <row r="13" spans="1:26" s="22" customFormat="1" x14ac:dyDescent="0.2">
      <c r="E13" s="22" t="str">
        <f>'Payment rates'!E66</f>
        <v>Company's performance payment rate</v>
      </c>
      <c r="G13" s="22" t="str">
        <f>'Payment rates'!G66</f>
        <v>Percentage</v>
      </c>
      <c r="J13" s="26">
        <f>'Payment rates'!J66</f>
        <v>-1.5376729882111745E-3</v>
      </c>
      <c r="K13" s="26">
        <f>'Payment rates'!K66</f>
        <v>9.5914742451188532E-4</v>
      </c>
      <c r="L13" s="26">
        <f>'Payment rates'!L66</f>
        <v>0</v>
      </c>
      <c r="M13" s="26">
        <f>'Payment rates'!M66</f>
        <v>-3.2721681189133753E-2</v>
      </c>
      <c r="N13" s="26">
        <f>'Payment rates'!N66</f>
        <v>2.5683836589698333E-2</v>
      </c>
      <c r="O13" s="26">
        <f>'Payment rates'!O66</f>
        <v>4.8596802841918363E-2</v>
      </c>
      <c r="P13" s="26">
        <f>'Payment rates'!P66</f>
        <v>6.0000000000000005E-2</v>
      </c>
      <c r="Q13" s="26">
        <f>'Payment rates'!Q66</f>
        <v>-3.0261404407995837E-2</v>
      </c>
      <c r="R13" s="26">
        <f>'Payment rates'!R66</f>
        <v>5.3925399644760286E-2</v>
      </c>
      <c r="S13" s="26">
        <f>'Payment rates'!S66</f>
        <v>-7.4730907227062937E-2</v>
      </c>
      <c r="T13" s="26">
        <f>'Payment rates'!T66</f>
        <v>-1.9620707329574574E-2</v>
      </c>
      <c r="U13" s="26">
        <f>'Payment rates'!U66</f>
        <v>1.6944937833037351E-2</v>
      </c>
      <c r="V13" s="26">
        <f>'Payment rates'!V66</f>
        <v>-7.2393644284981976E-2</v>
      </c>
      <c r="W13" s="26">
        <f>'Payment rates'!W66</f>
        <v>-0.12</v>
      </c>
      <c r="X13" s="26">
        <f>'Payment rates'!X66</f>
        <v>4.0177619893428204E-2</v>
      </c>
      <c r="Y13" s="26">
        <f>'Payment rates'!Y66</f>
        <v>7.7797513321494014E-3</v>
      </c>
      <c r="Z13" s="26">
        <f>'Payment rates'!Z66</f>
        <v>-9.1460789338800683E-2</v>
      </c>
    </row>
    <row r="14" spans="1:26" x14ac:dyDescent="0.2">
      <c r="E14" s="8" t="s">
        <v>246</v>
      </c>
      <c r="F14" s="8"/>
      <c r="G14" s="8" t="s">
        <v>186</v>
      </c>
      <c r="H14" s="8"/>
      <c r="I14" s="8"/>
      <c r="J14" s="35">
        <f>J12*J13</f>
        <v>0</v>
      </c>
      <c r="K14" s="35">
        <f>K12*K13</f>
        <v>1.9356554174074357E-2</v>
      </c>
      <c r="L14" s="35" t="e">
        <f t="shared" ref="L14" si="1">L12*L13</f>
        <v>#VALUE!</v>
      </c>
      <c r="M14" s="35">
        <f t="shared" ref="M14" si="2">M12*M13</f>
        <v>-0.21056401845207567</v>
      </c>
      <c r="N14" s="35">
        <f t="shared" ref="N14" si="3">N12*N13</f>
        <v>3.5443694493783704E-3</v>
      </c>
      <c r="O14" s="35">
        <f t="shared" ref="O14" si="4">O12*O13</f>
        <v>9.3937619893428193E-2</v>
      </c>
      <c r="P14" s="35">
        <f t="shared" ref="P14" si="5">P12*P13</f>
        <v>0</v>
      </c>
      <c r="Q14" s="35">
        <f t="shared" ref="Q14" si="6">Q12*Q13</f>
        <v>0</v>
      </c>
      <c r="R14" s="35">
        <f t="shared" ref="R14" si="7">R12*R13</f>
        <v>1.1255848667850814</v>
      </c>
      <c r="S14" s="35">
        <f>S12*S13</f>
        <v>0</v>
      </c>
      <c r="T14" s="35">
        <f t="shared" ref="T14" si="8">T12*T13</f>
        <v>0</v>
      </c>
      <c r="U14" s="35">
        <f t="shared" ref="U14" si="9">U12*U13</f>
        <v>0.10790536412078186</v>
      </c>
      <c r="V14" s="35">
        <f t="shared" ref="V14" si="10">V12*V13</f>
        <v>-1.2005038031778559</v>
      </c>
      <c r="W14" s="35">
        <f t="shared" ref="W14" si="11">W12*W13</f>
        <v>-2.0725199999999999</v>
      </c>
      <c r="X14" s="35">
        <f t="shared" ref="X14" si="12">X12*X13</f>
        <v>0.32834319623339375</v>
      </c>
      <c r="Y14" s="35">
        <f t="shared" ref="Y14" si="13">Y12*Y13</f>
        <v>3.4495417406750446E-2</v>
      </c>
      <c r="Z14" s="35">
        <f t="shared" ref="Z14" si="14">Z12*Z13</f>
        <v>-0.95091782675551073</v>
      </c>
    </row>
    <row r="15" spans="1:26" x14ac:dyDescent="0.2">
      <c r="E15" s="8"/>
      <c r="F15" s="8"/>
      <c r="G15" s="8"/>
      <c r="H15" s="8"/>
      <c r="I15" s="8"/>
      <c r="J15" s="35"/>
      <c r="K15" s="35"/>
      <c r="L15" s="35"/>
      <c r="M15" s="35"/>
      <c r="N15" s="35"/>
      <c r="O15" s="35"/>
      <c r="P15" s="35"/>
      <c r="Q15" s="35"/>
      <c r="R15" s="35"/>
      <c r="S15" s="35"/>
      <c r="T15" s="35"/>
      <c r="U15" s="35"/>
      <c r="V15" s="35"/>
      <c r="W15" s="35"/>
      <c r="X15" s="35"/>
      <c r="Y15" s="35"/>
      <c r="Z15" s="35"/>
    </row>
    <row r="16" spans="1:26" x14ac:dyDescent="0.2">
      <c r="B16" s="10" t="s">
        <v>247</v>
      </c>
      <c r="E16" s="8"/>
      <c r="F16" s="8"/>
      <c r="G16" s="8"/>
      <c r="H16" s="8"/>
      <c r="I16" s="8"/>
      <c r="J16" s="35"/>
      <c r="K16" s="35"/>
      <c r="L16" s="35"/>
      <c r="M16" s="35"/>
      <c r="N16" s="35"/>
      <c r="O16" s="35"/>
      <c r="P16" s="35"/>
      <c r="Q16" s="35"/>
      <c r="R16" s="35"/>
      <c r="S16" s="35"/>
      <c r="T16" s="35"/>
      <c r="U16" s="35"/>
      <c r="V16" s="35"/>
      <c r="W16" s="35"/>
      <c r="X16" s="35"/>
      <c r="Y16" s="35"/>
      <c r="Z16" s="35"/>
    </row>
    <row r="17" spans="1:26" s="8" customFormat="1" x14ac:dyDescent="0.2">
      <c r="E17" s="8" t="str">
        <f xml:space="preserve"> E$10</f>
        <v>Performance payments - water</v>
      </c>
      <c r="G17" s="8" t="str">
        <f t="shared" ref="G17:Z17" si="15" xml:space="preserve"> G$10</f>
        <v>£m (nominal)</v>
      </c>
      <c r="J17" s="35">
        <f t="shared" si="15"/>
        <v>-2.1496668375192221E-2</v>
      </c>
      <c r="K17" s="35">
        <f t="shared" si="15"/>
        <v>3.3535630550633556E-2</v>
      </c>
      <c r="L17" s="35">
        <f t="shared" si="15"/>
        <v>0</v>
      </c>
      <c r="M17" s="35">
        <f t="shared" si="15"/>
        <v>-0.98783483341875888</v>
      </c>
      <c r="N17" s="35">
        <f t="shared" si="15"/>
        <v>1.8723516873890084E-2</v>
      </c>
      <c r="O17" s="35">
        <f t="shared" si="15"/>
        <v>0.68866529307282509</v>
      </c>
      <c r="P17" s="35">
        <f t="shared" si="15"/>
        <v>0.13188</v>
      </c>
      <c r="Q17" s="35">
        <f t="shared" si="15"/>
        <v>-9.9620543311122287E-2</v>
      </c>
      <c r="R17" s="35">
        <f t="shared" si="15"/>
        <v>2.4501544582593282</v>
      </c>
      <c r="S17" s="35">
        <f t="shared" si="15"/>
        <v>-0.81867708867247446</v>
      </c>
      <c r="T17" s="35">
        <f t="shared" si="15"/>
        <v>-0.26378078933880056</v>
      </c>
      <c r="U17" s="35">
        <f t="shared" si="15"/>
        <v>0.16883936056838417</v>
      </c>
      <c r="V17" s="35">
        <f t="shared" si="15"/>
        <v>-0.94061062019477082</v>
      </c>
      <c r="W17" s="35">
        <f t="shared" si="15"/>
        <v>-4.7583599999999997</v>
      </c>
      <c r="X17" s="35">
        <f t="shared" si="15"/>
        <v>1.0154819413016531</v>
      </c>
      <c r="Y17" s="35">
        <f t="shared" si="15"/>
        <v>3.3141740674956448E-2</v>
      </c>
      <c r="Z17" s="35">
        <f t="shared" si="15"/>
        <v>-1.1054865607380839</v>
      </c>
    </row>
    <row r="18" spans="1:26" s="8" customFormat="1" x14ac:dyDescent="0.2">
      <c r="E18" s="8" t="str">
        <f xml:space="preserve"> E$14</f>
        <v>Performance payments - wastewater</v>
      </c>
      <c r="G18" s="8" t="str">
        <f t="shared" ref="G18:Z18" si="16" xml:space="preserve"> G$14</f>
        <v>£m (nominal)</v>
      </c>
      <c r="J18" s="35">
        <f t="shared" si="16"/>
        <v>0</v>
      </c>
      <c r="K18" s="35">
        <f t="shared" si="16"/>
        <v>1.9356554174074357E-2</v>
      </c>
      <c r="L18" s="35" t="e">
        <f t="shared" si="16"/>
        <v>#VALUE!</v>
      </c>
      <c r="M18" s="35">
        <f t="shared" si="16"/>
        <v>-0.21056401845207567</v>
      </c>
      <c r="N18" s="35">
        <f t="shared" si="16"/>
        <v>3.5443694493783704E-3</v>
      </c>
      <c r="O18" s="35">
        <f t="shared" si="16"/>
        <v>9.3937619893428193E-2</v>
      </c>
      <c r="P18" s="35">
        <f t="shared" si="16"/>
        <v>0</v>
      </c>
      <c r="Q18" s="35">
        <f t="shared" si="16"/>
        <v>0</v>
      </c>
      <c r="R18" s="35">
        <f t="shared" si="16"/>
        <v>1.1255848667850814</v>
      </c>
      <c r="S18" s="35">
        <f t="shared" si="16"/>
        <v>0</v>
      </c>
      <c r="T18" s="35">
        <f t="shared" si="16"/>
        <v>0</v>
      </c>
      <c r="U18" s="35">
        <f t="shared" si="16"/>
        <v>0.10790536412078186</v>
      </c>
      <c r="V18" s="35">
        <f t="shared" si="16"/>
        <v>-1.2005038031778559</v>
      </c>
      <c r="W18" s="35">
        <f t="shared" si="16"/>
        <v>-2.0725199999999999</v>
      </c>
      <c r="X18" s="35">
        <f t="shared" si="16"/>
        <v>0.32834319623339375</v>
      </c>
      <c r="Y18" s="35">
        <f t="shared" si="16"/>
        <v>3.4495417406750446E-2</v>
      </c>
      <c r="Z18" s="35">
        <f t="shared" si="16"/>
        <v>-0.95091782675551073</v>
      </c>
    </row>
    <row r="19" spans="1:26" s="22" customFormat="1" x14ac:dyDescent="0.2">
      <c r="E19" s="22" t="str">
        <f xml:space="preserve"> Index!E$23</f>
        <v>Adjust from 2017-18 to report year (year ending 2024)</v>
      </c>
      <c r="F19" s="177">
        <f xml:space="preserve"> Index!F$23</f>
        <v>1.2259332023575638</v>
      </c>
      <c r="G19" s="22" t="str">
        <f xml:space="preserve"> Index!G$23</f>
        <v>Factor</v>
      </c>
      <c r="J19" s="34"/>
      <c r="K19" s="34"/>
      <c r="L19" s="34"/>
      <c r="M19" s="34"/>
      <c r="N19" s="34"/>
      <c r="O19" s="34"/>
      <c r="P19" s="34"/>
      <c r="Q19" s="34"/>
      <c r="R19" s="34"/>
      <c r="S19" s="34"/>
      <c r="T19" s="34"/>
      <c r="U19" s="34"/>
      <c r="V19" s="34"/>
      <c r="W19" s="34"/>
      <c r="X19" s="34"/>
      <c r="Y19" s="34"/>
      <c r="Z19" s="34"/>
    </row>
    <row r="20" spans="1:26" x14ac:dyDescent="0.2">
      <c r="E20" s="8" t="s">
        <v>245</v>
      </c>
      <c r="F20" s="8"/>
      <c r="G20" s="8" t="s">
        <v>248</v>
      </c>
      <c r="H20" s="8"/>
      <c r="I20" s="8"/>
      <c r="J20" s="35">
        <f xml:space="preserve"> J17 / $F$19</f>
        <v>-1.7534942632969296E-2</v>
      </c>
      <c r="K20" s="35">
        <f t="shared" ref="K20:Z20" si="17" xml:space="preserve"> K17 / $F$19</f>
        <v>2.7355185817744362E-2</v>
      </c>
      <c r="L20" s="35">
        <f t="shared" si="17"/>
        <v>0</v>
      </c>
      <c r="M20" s="35">
        <f t="shared" si="17"/>
        <v>-0.80578193943934029</v>
      </c>
      <c r="N20" s="35">
        <f t="shared" si="17"/>
        <v>1.5272868732067393E-2</v>
      </c>
      <c r="O20" s="35">
        <f t="shared" si="17"/>
        <v>0.56174781117639105</v>
      </c>
      <c r="P20" s="35">
        <f t="shared" si="17"/>
        <v>0.10757519230769232</v>
      </c>
      <c r="Q20" s="35">
        <f t="shared" si="17"/>
        <v>-8.1260988053463531E-2</v>
      </c>
      <c r="R20" s="35">
        <f t="shared" si="17"/>
        <v>1.9986035564967919</v>
      </c>
      <c r="S20" s="35">
        <f t="shared" si="17"/>
        <v>-0.66779909957418193</v>
      </c>
      <c r="T20" s="35">
        <f t="shared" si="17"/>
        <v>-0.21516734258565623</v>
      </c>
      <c r="U20" s="35">
        <f t="shared" si="17"/>
        <v>0.13772313225850569</v>
      </c>
      <c r="V20" s="35">
        <f t="shared" si="17"/>
        <v>-0.76726090653708079</v>
      </c>
      <c r="W20" s="35">
        <f t="shared" si="17"/>
        <v>-3.8814186538461537</v>
      </c>
      <c r="X20" s="35">
        <f t="shared" si="17"/>
        <v>0.82833382711945747</v>
      </c>
      <c r="Y20" s="35">
        <f t="shared" si="17"/>
        <v>2.7033887826206464E-2</v>
      </c>
      <c r="Z20" s="35">
        <f t="shared" si="17"/>
        <v>-0.90175105675590506</v>
      </c>
    </row>
    <row r="21" spans="1:26" x14ac:dyDescent="0.2">
      <c r="E21" s="8" t="s">
        <v>246</v>
      </c>
      <c r="F21" s="8"/>
      <c r="G21" s="8" t="s">
        <v>248</v>
      </c>
      <c r="H21" s="8"/>
      <c r="I21" s="8"/>
      <c r="J21" s="35">
        <f xml:space="preserve"> J18 / $F$19</f>
        <v>0</v>
      </c>
      <c r="K21" s="35">
        <f t="shared" ref="K21:Z21" si="18" xml:space="preserve"> K18 / $F$19</f>
        <v>1.5789240504172835E-2</v>
      </c>
      <c r="L21" s="35" t="e">
        <f t="shared" si="18"/>
        <v>#VALUE!</v>
      </c>
      <c r="M21" s="35">
        <f t="shared" si="18"/>
        <v>-0.17175814966683739</v>
      </c>
      <c r="N21" s="35">
        <f t="shared" si="18"/>
        <v>2.8911603361115234E-3</v>
      </c>
      <c r="O21" s="35">
        <f t="shared" si="18"/>
        <v>7.6625398278453452E-2</v>
      </c>
      <c r="P21" s="35">
        <f t="shared" si="18"/>
        <v>0</v>
      </c>
      <c r="Q21" s="35">
        <f t="shared" si="18"/>
        <v>0</v>
      </c>
      <c r="R21" s="35">
        <f t="shared" si="18"/>
        <v>0.91814534806667703</v>
      </c>
      <c r="S21" s="35">
        <f t="shared" si="18"/>
        <v>0</v>
      </c>
      <c r="T21" s="35">
        <f t="shared" si="18"/>
        <v>0</v>
      </c>
      <c r="U21" s="35">
        <f t="shared" si="18"/>
        <v>8.8018958874163417E-2</v>
      </c>
      <c r="V21" s="35">
        <f t="shared" si="18"/>
        <v>-0.97925710868193705</v>
      </c>
      <c r="W21" s="35">
        <f t="shared" si="18"/>
        <v>-1.6905651923076923</v>
      </c>
      <c r="X21" s="35">
        <f t="shared" si="18"/>
        <v>0.26783122897884204</v>
      </c>
      <c r="Y21" s="35">
        <f t="shared" si="18"/>
        <v>2.8138088878262787E-2</v>
      </c>
      <c r="Z21" s="35">
        <f t="shared" si="18"/>
        <v>-0.7756685477861458</v>
      </c>
    </row>
    <row r="22" spans="1:26" x14ac:dyDescent="0.2">
      <c r="J22" s="17"/>
      <c r="K22" s="17"/>
      <c r="L22" s="17"/>
      <c r="M22" s="17"/>
      <c r="N22" s="17"/>
      <c r="O22" s="17"/>
      <c r="P22" s="17"/>
      <c r="Q22" s="17"/>
      <c r="R22" s="17"/>
      <c r="S22" s="17"/>
      <c r="T22" s="17"/>
      <c r="U22" s="17"/>
      <c r="V22" s="17"/>
      <c r="W22" s="17"/>
      <c r="X22" s="17"/>
      <c r="Y22" s="17"/>
      <c r="Z22" s="17"/>
    </row>
    <row r="23" spans="1:26" x14ac:dyDescent="0.2">
      <c r="E23" s="4" t="str">
        <f xml:space="preserve"> E$20</f>
        <v>Performance payments - water</v>
      </c>
      <c r="G23" s="4" t="str">
        <f xml:space="preserve"> G$20</f>
        <v>£m (2017-18 FYA CPIH prices)</v>
      </c>
      <c r="J23" s="17">
        <f xml:space="preserve"> J$20</f>
        <v>-1.7534942632969296E-2</v>
      </c>
      <c r="K23" s="17">
        <f t="shared" ref="K23:Z23" si="19" xml:space="preserve"> K$20</f>
        <v>2.7355185817744362E-2</v>
      </c>
      <c r="L23" s="17">
        <f t="shared" si="19"/>
        <v>0</v>
      </c>
      <c r="M23" s="17">
        <f t="shared" si="19"/>
        <v>-0.80578193943934029</v>
      </c>
      <c r="N23" s="17">
        <f t="shared" si="19"/>
        <v>1.5272868732067393E-2</v>
      </c>
      <c r="O23" s="17">
        <f t="shared" si="19"/>
        <v>0.56174781117639105</v>
      </c>
      <c r="P23" s="17">
        <f t="shared" si="19"/>
        <v>0.10757519230769232</v>
      </c>
      <c r="Q23" s="17">
        <f t="shared" si="19"/>
        <v>-8.1260988053463531E-2</v>
      </c>
      <c r="R23" s="17">
        <f t="shared" si="19"/>
        <v>1.9986035564967919</v>
      </c>
      <c r="S23" s="17">
        <f t="shared" si="19"/>
        <v>-0.66779909957418193</v>
      </c>
      <c r="T23" s="17">
        <f t="shared" si="19"/>
        <v>-0.21516734258565623</v>
      </c>
      <c r="U23" s="17">
        <f t="shared" si="19"/>
        <v>0.13772313225850569</v>
      </c>
      <c r="V23" s="17">
        <f t="shared" si="19"/>
        <v>-0.76726090653708079</v>
      </c>
      <c r="W23" s="17">
        <f t="shared" si="19"/>
        <v>-3.8814186538461537</v>
      </c>
      <c r="X23" s="17">
        <f t="shared" si="19"/>
        <v>0.82833382711945747</v>
      </c>
      <c r="Y23" s="17">
        <f t="shared" si="19"/>
        <v>2.7033887826206464E-2</v>
      </c>
      <c r="Z23" s="17">
        <f t="shared" si="19"/>
        <v>-0.90175105675590506</v>
      </c>
    </row>
    <row r="24" spans="1:26" x14ac:dyDescent="0.2">
      <c r="E24" s="4" t="str">
        <f xml:space="preserve"> E$21</f>
        <v>Performance payments - wastewater</v>
      </c>
      <c r="G24" s="4" t="str">
        <f xml:space="preserve"> G$21</f>
        <v>£m (2017-18 FYA CPIH prices)</v>
      </c>
      <c r="J24" s="17">
        <f xml:space="preserve"> J$21</f>
        <v>0</v>
      </c>
      <c r="K24" s="17">
        <f t="shared" ref="K24:Z24" si="20" xml:space="preserve"> K$21</f>
        <v>1.5789240504172835E-2</v>
      </c>
      <c r="L24" s="17" t="e">
        <f t="shared" si="20"/>
        <v>#VALUE!</v>
      </c>
      <c r="M24" s="17">
        <f t="shared" si="20"/>
        <v>-0.17175814966683739</v>
      </c>
      <c r="N24" s="17">
        <f t="shared" si="20"/>
        <v>2.8911603361115234E-3</v>
      </c>
      <c r="O24" s="17">
        <f t="shared" si="20"/>
        <v>7.6625398278453452E-2</v>
      </c>
      <c r="P24" s="17">
        <f t="shared" si="20"/>
        <v>0</v>
      </c>
      <c r="Q24" s="17">
        <f t="shared" si="20"/>
        <v>0</v>
      </c>
      <c r="R24" s="17">
        <f t="shared" si="20"/>
        <v>0.91814534806667703</v>
      </c>
      <c r="S24" s="17">
        <f t="shared" si="20"/>
        <v>0</v>
      </c>
      <c r="T24" s="17">
        <f t="shared" si="20"/>
        <v>0</v>
      </c>
      <c r="U24" s="17">
        <f t="shared" si="20"/>
        <v>8.8018958874163417E-2</v>
      </c>
      <c r="V24" s="17">
        <f t="shared" si="20"/>
        <v>-0.97925710868193705</v>
      </c>
      <c r="W24" s="17">
        <f t="shared" si="20"/>
        <v>-1.6905651923076923</v>
      </c>
      <c r="X24" s="17">
        <f t="shared" si="20"/>
        <v>0.26783122897884204</v>
      </c>
      <c r="Y24" s="17">
        <f t="shared" si="20"/>
        <v>2.8138088878262787E-2</v>
      </c>
      <c r="Z24" s="17">
        <f t="shared" si="20"/>
        <v>-0.7756685477861458</v>
      </c>
    </row>
    <row r="25" spans="1:26" x14ac:dyDescent="0.2">
      <c r="E25" s="4" t="s">
        <v>249</v>
      </c>
      <c r="G25" s="8" t="s">
        <v>248</v>
      </c>
      <c r="J25" s="17">
        <f>SUM(J23:J24)</f>
        <v>-1.7534942632969296E-2</v>
      </c>
      <c r="K25" s="17">
        <f>SUM(K23:K24)</f>
        <v>4.3144426321917201E-2</v>
      </c>
      <c r="L25" s="17" t="e">
        <f t="shared" ref="L25:Y25" si="21">SUM(L23:L24)</f>
        <v>#VALUE!</v>
      </c>
      <c r="M25" s="17">
        <f t="shared" si="21"/>
        <v>-0.97754008910617762</v>
      </c>
      <c r="N25" s="17">
        <f t="shared" si="21"/>
        <v>1.8164029068178916E-2</v>
      </c>
      <c r="O25" s="17">
        <f t="shared" si="21"/>
        <v>0.63837320945484455</v>
      </c>
      <c r="P25" s="17">
        <f t="shared" si="21"/>
        <v>0.10757519230769232</v>
      </c>
      <c r="Q25" s="17">
        <f t="shared" si="21"/>
        <v>-8.1260988053463531E-2</v>
      </c>
      <c r="R25" s="17">
        <f t="shared" si="21"/>
        <v>2.9167489045634687</v>
      </c>
      <c r="S25" s="17">
        <f t="shared" si="21"/>
        <v>-0.66779909957418193</v>
      </c>
      <c r="T25" s="17">
        <f t="shared" si="21"/>
        <v>-0.21516734258565623</v>
      </c>
      <c r="U25" s="17">
        <f t="shared" si="21"/>
        <v>0.2257420911326691</v>
      </c>
      <c r="V25" s="17">
        <f t="shared" si="21"/>
        <v>-1.7465180152190178</v>
      </c>
      <c r="W25" s="17">
        <f t="shared" si="21"/>
        <v>-5.571983846153846</v>
      </c>
      <c r="X25" s="17">
        <f t="shared" si="21"/>
        <v>1.0961650560982994</v>
      </c>
      <c r="Y25" s="17">
        <f t="shared" si="21"/>
        <v>5.5171976704469251E-2</v>
      </c>
      <c r="Z25" s="17">
        <f>SUM(Z23:Z24)</f>
        <v>-1.6774196045420509</v>
      </c>
    </row>
    <row r="26" spans="1:26" x14ac:dyDescent="0.2">
      <c r="J26" s="17"/>
      <c r="K26" s="17"/>
      <c r="L26" s="17"/>
      <c r="M26" s="17"/>
      <c r="N26" s="17"/>
      <c r="O26" s="17"/>
      <c r="P26" s="17"/>
      <c r="Q26" s="17"/>
      <c r="R26" s="17"/>
      <c r="S26" s="17"/>
      <c r="T26" s="17"/>
      <c r="U26" s="17"/>
      <c r="V26" s="17"/>
      <c r="W26" s="17"/>
      <c r="X26" s="17"/>
      <c r="Y26" s="17"/>
      <c r="Z26" s="17"/>
    </row>
    <row r="27" spans="1:26" s="1" customFormat="1" ht="13.5" x14ac:dyDescent="0.25">
      <c r="A27" s="1" t="s">
        <v>250</v>
      </c>
    </row>
    <row r="28" spans="1:26" x14ac:dyDescent="0.2">
      <c r="C28" s="11"/>
    </row>
    <row r="29" spans="1:26" x14ac:dyDescent="0.2">
      <c r="B29" s="10" t="s">
        <v>251</v>
      </c>
      <c r="C29" s="11"/>
    </row>
    <row r="30" spans="1:26" s="30" customFormat="1" x14ac:dyDescent="0.2">
      <c r="C30" s="36"/>
      <c r="E30" s="30" t="str">
        <f>Inputs!E7</f>
        <v>Affinity Water</v>
      </c>
      <c r="F30" s="37">
        <f>INDEX($J$23:$Z$23,MATCH(E30,$J$5:$Z$5,0))</f>
        <v>-1.7534942632969296E-2</v>
      </c>
      <c r="G30" s="30" t="s">
        <v>252</v>
      </c>
    </row>
    <row r="31" spans="1:26" s="30" customFormat="1" x14ac:dyDescent="0.2">
      <c r="C31" s="36"/>
      <c r="E31" s="30" t="str">
        <f>Inputs!E8</f>
        <v>Anglian Water</v>
      </c>
      <c r="F31" s="37">
        <f t="shared" ref="F31:F46" si="22">INDEX($J$23:$Z$23,MATCH(E31,$J$5:$Z$5,0))</f>
        <v>2.7355185817744362E-2</v>
      </c>
      <c r="G31" s="30" t="s">
        <v>252</v>
      </c>
    </row>
    <row r="32" spans="1:26" s="30" customFormat="1" x14ac:dyDescent="0.2">
      <c r="C32" s="36"/>
      <c r="E32" s="30" t="str">
        <f>Inputs!E9</f>
        <v>Bristol Water</v>
      </c>
      <c r="F32" s="37">
        <f t="shared" si="22"/>
        <v>0</v>
      </c>
      <c r="G32" s="30" t="s">
        <v>252</v>
      </c>
    </row>
    <row r="33" spans="2:7" s="30" customFormat="1" x14ac:dyDescent="0.2">
      <c r="C33" s="36"/>
      <c r="E33" s="30" t="str">
        <f>Inputs!E10</f>
        <v>Dŵr Cymru</v>
      </c>
      <c r="F33" s="37">
        <f t="shared" si="22"/>
        <v>-0.80578193943934029</v>
      </c>
      <c r="G33" s="30" t="s">
        <v>252</v>
      </c>
    </row>
    <row r="34" spans="2:7" s="30" customFormat="1" x14ac:dyDescent="0.2">
      <c r="C34" s="36"/>
      <c r="E34" s="30" t="str">
        <f>Inputs!E11</f>
        <v>Hafren Dyfrdwy</v>
      </c>
      <c r="F34" s="37">
        <f t="shared" si="22"/>
        <v>1.5272868732067393E-2</v>
      </c>
      <c r="G34" s="30" t="s">
        <v>252</v>
      </c>
    </row>
    <row r="35" spans="2:7" s="30" customFormat="1" x14ac:dyDescent="0.2">
      <c r="C35" s="36"/>
      <c r="E35" s="30" t="str">
        <f>Inputs!E12</f>
        <v>Northumbrian Water</v>
      </c>
      <c r="F35" s="37">
        <f t="shared" si="22"/>
        <v>0.56174781117639105</v>
      </c>
      <c r="G35" s="30" t="s">
        <v>252</v>
      </c>
    </row>
    <row r="36" spans="2:7" s="30" customFormat="1" x14ac:dyDescent="0.2">
      <c r="C36" s="36"/>
      <c r="E36" s="30" t="str">
        <f>Inputs!E13</f>
        <v>Portsmouth Water</v>
      </c>
      <c r="F36" s="37">
        <f t="shared" si="22"/>
        <v>0.10757519230769232</v>
      </c>
      <c r="G36" s="30" t="s">
        <v>252</v>
      </c>
    </row>
    <row r="37" spans="2:7" s="30" customFormat="1" x14ac:dyDescent="0.2">
      <c r="C37" s="36"/>
      <c r="E37" s="30" t="str">
        <f>Inputs!E14</f>
        <v>SES Water</v>
      </c>
      <c r="F37" s="37">
        <f t="shared" si="22"/>
        <v>-8.1260988053463531E-2</v>
      </c>
      <c r="G37" s="30" t="s">
        <v>252</v>
      </c>
    </row>
    <row r="38" spans="2:7" s="30" customFormat="1" x14ac:dyDescent="0.2">
      <c r="C38" s="36"/>
      <c r="E38" s="30" t="str">
        <f>Inputs!E15</f>
        <v>Severn Trent Water</v>
      </c>
      <c r="F38" s="37">
        <f t="shared" si="22"/>
        <v>1.9986035564967919</v>
      </c>
      <c r="G38" s="30" t="s">
        <v>252</v>
      </c>
    </row>
    <row r="39" spans="2:7" s="30" customFormat="1" x14ac:dyDescent="0.2">
      <c r="C39" s="36"/>
      <c r="E39" s="30" t="str">
        <f>Inputs!E16</f>
        <v>South East Water</v>
      </c>
      <c r="F39" s="37">
        <f t="shared" si="22"/>
        <v>-0.66779909957418193</v>
      </c>
      <c r="G39" s="30" t="s">
        <v>252</v>
      </c>
    </row>
    <row r="40" spans="2:7" s="30" customFormat="1" x14ac:dyDescent="0.2">
      <c r="C40" s="36"/>
      <c r="E40" s="30" t="str">
        <f>Inputs!E17</f>
        <v>South Staffs Water</v>
      </c>
      <c r="F40" s="37">
        <f t="shared" si="22"/>
        <v>-0.21516734258565623</v>
      </c>
      <c r="G40" s="30" t="s">
        <v>252</v>
      </c>
    </row>
    <row r="41" spans="2:7" s="30" customFormat="1" x14ac:dyDescent="0.2">
      <c r="C41" s="36"/>
      <c r="E41" s="30" t="str">
        <f>Inputs!E18</f>
        <v>South West Water</v>
      </c>
      <c r="F41" s="37">
        <f t="shared" si="22"/>
        <v>0.13772313225850569</v>
      </c>
      <c r="G41" s="30" t="s">
        <v>252</v>
      </c>
    </row>
    <row r="42" spans="2:7" s="30" customFormat="1" x14ac:dyDescent="0.2">
      <c r="C42" s="36"/>
      <c r="E42" s="30" t="str">
        <f>Inputs!E19</f>
        <v>Southern Water</v>
      </c>
      <c r="F42" s="37">
        <f t="shared" si="22"/>
        <v>-0.76726090653708079</v>
      </c>
      <c r="G42" s="30" t="s">
        <v>252</v>
      </c>
    </row>
    <row r="43" spans="2:7" s="30" customFormat="1" x14ac:dyDescent="0.2">
      <c r="C43" s="36"/>
      <c r="E43" s="30" t="str">
        <f>Inputs!E20</f>
        <v>Thames Water</v>
      </c>
      <c r="F43" s="37">
        <f t="shared" si="22"/>
        <v>-3.8814186538461537</v>
      </c>
      <c r="G43" s="30" t="s">
        <v>252</v>
      </c>
    </row>
    <row r="44" spans="2:7" s="30" customFormat="1" x14ac:dyDescent="0.2">
      <c r="C44" s="36"/>
      <c r="E44" s="30" t="str">
        <f>Inputs!E21</f>
        <v>United Utilities</v>
      </c>
      <c r="F44" s="37">
        <f t="shared" si="22"/>
        <v>0.82833382711945747</v>
      </c>
      <c r="G44" s="30" t="s">
        <v>252</v>
      </c>
    </row>
    <row r="45" spans="2:7" s="30" customFormat="1" x14ac:dyDescent="0.2">
      <c r="C45" s="36"/>
      <c r="E45" s="30" t="str">
        <f>Inputs!E22</f>
        <v>Wessex Water</v>
      </c>
      <c r="F45" s="37">
        <f t="shared" si="22"/>
        <v>2.7033887826206464E-2</v>
      </c>
      <c r="G45" s="30" t="s">
        <v>252</v>
      </c>
    </row>
    <row r="46" spans="2:7" s="30" customFormat="1" x14ac:dyDescent="0.2">
      <c r="C46" s="36"/>
      <c r="E46" s="30" t="str">
        <f>Inputs!E23</f>
        <v>Yorkshire Water</v>
      </c>
      <c r="F46" s="37">
        <f t="shared" si="22"/>
        <v>-0.90175105675590506</v>
      </c>
      <c r="G46" s="30" t="s">
        <v>252</v>
      </c>
    </row>
    <row r="47" spans="2:7" x14ac:dyDescent="0.2">
      <c r="C47" s="11"/>
    </row>
    <row r="48" spans="2:7" x14ac:dyDescent="0.2">
      <c r="B48" s="10" t="s">
        <v>253</v>
      </c>
      <c r="C48" s="11"/>
    </row>
    <row r="49" spans="3:7" s="30" customFormat="1" x14ac:dyDescent="0.2">
      <c r="C49" s="36"/>
      <c r="E49" s="30" t="str">
        <f>Inputs!E7</f>
        <v>Affinity Water</v>
      </c>
      <c r="F49" s="37">
        <f>INDEX($J$24:$Z$24,MATCH(E49,$J$5:$Z$5,0))</f>
        <v>0</v>
      </c>
      <c r="G49" s="30" t="s">
        <v>252</v>
      </c>
    </row>
    <row r="50" spans="3:7" s="30" customFormat="1" x14ac:dyDescent="0.2">
      <c r="C50" s="36"/>
      <c r="E50" s="30" t="str">
        <f>Inputs!E8</f>
        <v>Anglian Water</v>
      </c>
      <c r="F50" s="37">
        <f t="shared" ref="F50:F65" si="23">INDEX($J$24:$Z$24,MATCH(E50,$J$5:$Z$5,0))</f>
        <v>1.5789240504172835E-2</v>
      </c>
      <c r="G50" s="30" t="s">
        <v>252</v>
      </c>
    </row>
    <row r="51" spans="3:7" s="30" customFormat="1" x14ac:dyDescent="0.2">
      <c r="C51" s="36"/>
      <c r="E51" s="30" t="str">
        <f>Inputs!E9</f>
        <v>Bristol Water</v>
      </c>
      <c r="F51" s="37" t="e">
        <f t="shared" si="23"/>
        <v>#VALUE!</v>
      </c>
      <c r="G51" s="30" t="s">
        <v>252</v>
      </c>
    </row>
    <row r="52" spans="3:7" s="30" customFormat="1" x14ac:dyDescent="0.2">
      <c r="C52" s="36"/>
      <c r="E52" s="30" t="str">
        <f>Inputs!E10</f>
        <v>Dŵr Cymru</v>
      </c>
      <c r="F52" s="37">
        <f t="shared" si="23"/>
        <v>-0.17175814966683739</v>
      </c>
      <c r="G52" s="30" t="s">
        <v>252</v>
      </c>
    </row>
    <row r="53" spans="3:7" s="30" customFormat="1" x14ac:dyDescent="0.2">
      <c r="C53" s="36"/>
      <c r="E53" s="30" t="str">
        <f>Inputs!E11</f>
        <v>Hafren Dyfrdwy</v>
      </c>
      <c r="F53" s="37">
        <f t="shared" si="23"/>
        <v>2.8911603361115234E-3</v>
      </c>
      <c r="G53" s="30" t="s">
        <v>252</v>
      </c>
    </row>
    <row r="54" spans="3:7" s="30" customFormat="1" x14ac:dyDescent="0.2">
      <c r="C54" s="36"/>
      <c r="E54" s="30" t="str">
        <f>Inputs!E12</f>
        <v>Northumbrian Water</v>
      </c>
      <c r="F54" s="37">
        <f t="shared" si="23"/>
        <v>7.6625398278453452E-2</v>
      </c>
      <c r="G54" s="30" t="s">
        <v>252</v>
      </c>
    </row>
    <row r="55" spans="3:7" s="30" customFormat="1" x14ac:dyDescent="0.2">
      <c r="C55" s="36"/>
      <c r="E55" s="30" t="str">
        <f>Inputs!E13</f>
        <v>Portsmouth Water</v>
      </c>
      <c r="F55" s="37">
        <f t="shared" si="23"/>
        <v>0</v>
      </c>
      <c r="G55" s="30" t="s">
        <v>252</v>
      </c>
    </row>
    <row r="56" spans="3:7" s="30" customFormat="1" x14ac:dyDescent="0.2">
      <c r="C56" s="36"/>
      <c r="E56" s="30" t="str">
        <f>Inputs!E14</f>
        <v>SES Water</v>
      </c>
      <c r="F56" s="37">
        <f t="shared" si="23"/>
        <v>0</v>
      </c>
      <c r="G56" s="30" t="s">
        <v>252</v>
      </c>
    </row>
    <row r="57" spans="3:7" s="30" customFormat="1" x14ac:dyDescent="0.2">
      <c r="C57" s="36"/>
      <c r="E57" s="30" t="str">
        <f>Inputs!E15</f>
        <v>Severn Trent Water</v>
      </c>
      <c r="F57" s="37">
        <f t="shared" si="23"/>
        <v>0.91814534806667703</v>
      </c>
      <c r="G57" s="30" t="s">
        <v>252</v>
      </c>
    </row>
    <row r="58" spans="3:7" s="30" customFormat="1" x14ac:dyDescent="0.2">
      <c r="C58" s="36"/>
      <c r="E58" s="30" t="str">
        <f>Inputs!E16</f>
        <v>South East Water</v>
      </c>
      <c r="F58" s="37">
        <f t="shared" si="23"/>
        <v>0</v>
      </c>
      <c r="G58" s="30" t="s">
        <v>252</v>
      </c>
    </row>
    <row r="59" spans="3:7" s="30" customFormat="1" x14ac:dyDescent="0.2">
      <c r="C59" s="36"/>
      <c r="E59" s="30" t="str">
        <f>Inputs!E17</f>
        <v>South Staffs Water</v>
      </c>
      <c r="F59" s="37">
        <f t="shared" si="23"/>
        <v>0</v>
      </c>
      <c r="G59" s="30" t="s">
        <v>252</v>
      </c>
    </row>
    <row r="60" spans="3:7" s="30" customFormat="1" x14ac:dyDescent="0.2">
      <c r="C60" s="36"/>
      <c r="E60" s="30" t="str">
        <f>Inputs!E18</f>
        <v>South West Water</v>
      </c>
      <c r="F60" s="37">
        <f t="shared" si="23"/>
        <v>8.8018958874163417E-2</v>
      </c>
      <c r="G60" s="30" t="s">
        <v>252</v>
      </c>
    </row>
    <row r="61" spans="3:7" s="30" customFormat="1" x14ac:dyDescent="0.2">
      <c r="C61" s="36"/>
      <c r="E61" s="30" t="str">
        <f>Inputs!E19</f>
        <v>Southern Water</v>
      </c>
      <c r="F61" s="37">
        <f t="shared" si="23"/>
        <v>-0.97925710868193705</v>
      </c>
      <c r="G61" s="30" t="s">
        <v>252</v>
      </c>
    </row>
    <row r="62" spans="3:7" s="30" customFormat="1" x14ac:dyDescent="0.2">
      <c r="C62" s="36"/>
      <c r="E62" s="30" t="str">
        <f>Inputs!E20</f>
        <v>Thames Water</v>
      </c>
      <c r="F62" s="37">
        <f t="shared" si="23"/>
        <v>-1.6905651923076923</v>
      </c>
      <c r="G62" s="30" t="s">
        <v>252</v>
      </c>
    </row>
    <row r="63" spans="3:7" s="30" customFormat="1" x14ac:dyDescent="0.2">
      <c r="C63" s="36"/>
      <c r="E63" s="30" t="str">
        <f>Inputs!E21</f>
        <v>United Utilities</v>
      </c>
      <c r="F63" s="37">
        <f t="shared" si="23"/>
        <v>0.26783122897884204</v>
      </c>
      <c r="G63" s="30" t="s">
        <v>252</v>
      </c>
    </row>
    <row r="64" spans="3:7" s="30" customFormat="1" x14ac:dyDescent="0.2">
      <c r="C64" s="36"/>
      <c r="E64" s="30" t="str">
        <f>Inputs!E22</f>
        <v>Wessex Water</v>
      </c>
      <c r="F64" s="37">
        <f t="shared" si="23"/>
        <v>2.8138088878262787E-2</v>
      </c>
      <c r="G64" s="30" t="s">
        <v>252</v>
      </c>
    </row>
    <row r="65" spans="1:7" s="30" customFormat="1" x14ac:dyDescent="0.2">
      <c r="C65" s="36"/>
      <c r="E65" s="30" t="str">
        <f>Inputs!E23</f>
        <v>Yorkshire Water</v>
      </c>
      <c r="F65" s="37">
        <f t="shared" si="23"/>
        <v>-0.7756685477861458</v>
      </c>
      <c r="G65" s="30" t="s">
        <v>252</v>
      </c>
    </row>
    <row r="66" spans="1:7" x14ac:dyDescent="0.2">
      <c r="C66" s="11"/>
    </row>
    <row r="67" spans="1:7" s="2" customFormat="1" ht="13.5" x14ac:dyDescent="0.25">
      <c r="A67" s="2" t="s">
        <v>42</v>
      </c>
    </row>
  </sheetData>
  <pageMargins left="0.70866141732283472" right="0.70866141732283472" top="0.74803149606299213" bottom="0.74803149606299213" header="0.31496062992125984" footer="0.31496062992125984"/>
  <pageSetup paperSize="8" scale="64" fitToHeight="0" orientation="landscape" r:id="rId1"/>
  <headerFooter>
    <oddHeader>&amp;L&amp;F&amp;CSheet: &amp;A&amp;ROFFICIAL</oddHeader>
    <oddFooter>&amp;LPrinted on &amp;D at &amp;T&amp;CPage &amp;P of &amp;N&amp;ROfwat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2680-2819-4BCA-82BA-4F707022F449}">
  <sheetPr>
    <tabColor theme="4" tint="0.79998168889431442"/>
    <pageSetUpPr fitToPage="1"/>
  </sheetPr>
  <dimension ref="A1:I43"/>
  <sheetViews>
    <sheetView zoomScale="80" zoomScaleNormal="80" zoomScaleSheetLayoutView="100" workbookViewId="0">
      <selection activeCell="L19" sqref="L19"/>
    </sheetView>
  </sheetViews>
  <sheetFormatPr defaultColWidth="9.140625" defaultRowHeight="12.75" x14ac:dyDescent="0.2"/>
  <cols>
    <col min="1" max="4" width="2.7109375" style="4" customWidth="1"/>
    <col min="5" max="5" width="60.7109375" style="4" customWidth="1"/>
    <col min="6" max="6" width="20.7109375" style="4" customWidth="1"/>
    <col min="7" max="7" width="29.140625" style="4" customWidth="1"/>
    <col min="8" max="8" width="20.7109375" style="4" customWidth="1"/>
    <col min="9" max="9" width="2.7109375" style="4" customWidth="1"/>
    <col min="10" max="26" width="9.140625" style="4" customWidth="1"/>
    <col min="27" max="27" width="2.7109375" style="4" customWidth="1"/>
    <col min="28" max="16384" width="9.140625" style="4"/>
  </cols>
  <sheetData>
    <row r="1" spans="1:9" s="3" customFormat="1" ht="30" x14ac:dyDescent="0.4">
      <c r="A1" s="3" t="str">
        <f ca="1" xml:space="preserve"> RIGHT(CELL("filename", $A$1), LEN(CELL("filename", $A$1)) - SEARCH("]", CELL("filename", $A$1)))</f>
        <v>Outputs</v>
      </c>
      <c r="F1" s="3" t="str">
        <f xml:space="preserve"> Inputs!$F$1</f>
        <v>2023-24</v>
      </c>
    </row>
    <row r="2" spans="1:9" x14ac:dyDescent="0.2">
      <c r="F2" s="7" t="s">
        <v>177</v>
      </c>
      <c r="G2" s="7" t="s">
        <v>150</v>
      </c>
      <c r="H2" s="7" t="s">
        <v>178</v>
      </c>
      <c r="I2" s="10"/>
    </row>
    <row r="3" spans="1:9" s="1" customFormat="1" ht="13.5" x14ac:dyDescent="0.25">
      <c r="A3" s="1" t="s">
        <v>254</v>
      </c>
    </row>
    <row r="4" spans="1:9" x14ac:dyDescent="0.2">
      <c r="C4" s="11"/>
    </row>
    <row r="5" spans="1:9" x14ac:dyDescent="0.2">
      <c r="B5" s="10" t="s">
        <v>251</v>
      </c>
      <c r="C5" s="11"/>
    </row>
    <row r="6" spans="1:9" x14ac:dyDescent="0.2">
      <c r="C6" s="11"/>
      <c r="E6" s="74" t="str">
        <f>'Performance payments'!E30</f>
        <v>Affinity Water</v>
      </c>
      <c r="F6" s="75">
        <f>'Performance payments'!F30</f>
        <v>-1.7534942632969296E-2</v>
      </c>
      <c r="G6" s="74" t="str">
        <f>'Performance payments'!G30</f>
        <v>£m (2017-17 FYA CPIH prices)</v>
      </c>
      <c r="H6" s="74"/>
    </row>
    <row r="7" spans="1:9" x14ac:dyDescent="0.2">
      <c r="C7" s="11"/>
      <c r="E7" s="74" t="str">
        <f>'Performance payments'!E31</f>
        <v>Anglian Water</v>
      </c>
      <c r="F7" s="75">
        <f>'Performance payments'!F31</f>
        <v>2.7355185817744362E-2</v>
      </c>
      <c r="G7" s="74" t="str">
        <f>'Performance payments'!G31</f>
        <v>£m (2017-17 FYA CPIH prices)</v>
      </c>
      <c r="H7" s="74"/>
    </row>
    <row r="8" spans="1:9" x14ac:dyDescent="0.2">
      <c r="C8" s="11"/>
      <c r="E8" s="74" t="str">
        <f>'Performance payments'!E32</f>
        <v>Bristol Water</v>
      </c>
      <c r="F8" s="75">
        <f>'Performance payments'!F32</f>
        <v>0</v>
      </c>
      <c r="G8" s="74" t="str">
        <f>'Performance payments'!G32</f>
        <v>£m (2017-17 FYA CPIH prices)</v>
      </c>
      <c r="H8" s="74"/>
    </row>
    <row r="9" spans="1:9" x14ac:dyDescent="0.2">
      <c r="C9" s="11"/>
      <c r="E9" s="74" t="str">
        <f>'Performance payments'!E33</f>
        <v>Dŵr Cymru</v>
      </c>
      <c r="F9" s="75">
        <f>'Performance payments'!F33</f>
        <v>-0.80578193943934029</v>
      </c>
      <c r="G9" s="74" t="str">
        <f>'Performance payments'!G33</f>
        <v>£m (2017-17 FYA CPIH prices)</v>
      </c>
      <c r="H9" s="74"/>
    </row>
    <row r="10" spans="1:9" x14ac:dyDescent="0.2">
      <c r="C10" s="11"/>
      <c r="E10" s="74" t="str">
        <f>'Performance payments'!E34</f>
        <v>Hafren Dyfrdwy</v>
      </c>
      <c r="F10" s="75">
        <f>'Performance payments'!F34</f>
        <v>1.5272868732067393E-2</v>
      </c>
      <c r="G10" s="74" t="str">
        <f>'Performance payments'!G34</f>
        <v>£m (2017-17 FYA CPIH prices)</v>
      </c>
      <c r="H10" s="74"/>
    </row>
    <row r="11" spans="1:9" x14ac:dyDescent="0.2">
      <c r="C11" s="11"/>
      <c r="E11" s="74" t="str">
        <f>'Performance payments'!E35</f>
        <v>Northumbrian Water</v>
      </c>
      <c r="F11" s="75">
        <f>'Performance payments'!F35</f>
        <v>0.56174781117639105</v>
      </c>
      <c r="G11" s="74" t="str">
        <f>'Performance payments'!G35</f>
        <v>£m (2017-17 FYA CPIH prices)</v>
      </c>
      <c r="H11" s="74"/>
    </row>
    <row r="12" spans="1:9" x14ac:dyDescent="0.2">
      <c r="C12" s="11"/>
      <c r="E12" s="74" t="str">
        <f>'Performance payments'!E36</f>
        <v>Portsmouth Water</v>
      </c>
      <c r="F12" s="75">
        <f>'Performance payments'!F36</f>
        <v>0.10757519230769232</v>
      </c>
      <c r="G12" s="74" t="str">
        <f>'Performance payments'!G36</f>
        <v>£m (2017-17 FYA CPIH prices)</v>
      </c>
      <c r="H12" s="74"/>
    </row>
    <row r="13" spans="1:9" x14ac:dyDescent="0.2">
      <c r="C13" s="11"/>
      <c r="E13" s="74" t="str">
        <f>'Performance payments'!E37</f>
        <v>SES Water</v>
      </c>
      <c r="F13" s="75">
        <f>'Performance payments'!F37</f>
        <v>-8.1260988053463531E-2</v>
      </c>
      <c r="G13" s="74" t="str">
        <f>'Performance payments'!G37</f>
        <v>£m (2017-17 FYA CPIH prices)</v>
      </c>
      <c r="H13" s="74"/>
    </row>
    <row r="14" spans="1:9" x14ac:dyDescent="0.2">
      <c r="C14" s="11"/>
      <c r="E14" s="74" t="str">
        <f>'Performance payments'!E38</f>
        <v>Severn Trent Water</v>
      </c>
      <c r="F14" s="75">
        <f>'Performance payments'!F38</f>
        <v>1.9986035564967919</v>
      </c>
      <c r="G14" s="74" t="str">
        <f>'Performance payments'!G38</f>
        <v>£m (2017-17 FYA CPIH prices)</v>
      </c>
      <c r="H14" s="74"/>
    </row>
    <row r="15" spans="1:9" x14ac:dyDescent="0.2">
      <c r="C15" s="11"/>
      <c r="E15" s="74" t="str">
        <f>'Performance payments'!E39</f>
        <v>South East Water</v>
      </c>
      <c r="F15" s="75">
        <f>'Performance payments'!F39</f>
        <v>-0.66779909957418193</v>
      </c>
      <c r="G15" s="74" t="str">
        <f>'Performance payments'!G39</f>
        <v>£m (2017-17 FYA CPIH prices)</v>
      </c>
      <c r="H15" s="74"/>
    </row>
    <row r="16" spans="1:9" x14ac:dyDescent="0.2">
      <c r="C16" s="11"/>
      <c r="E16" s="74" t="str">
        <f>'Performance payments'!E40</f>
        <v>South Staffs Water</v>
      </c>
      <c r="F16" s="75">
        <f>'Performance payments'!F40</f>
        <v>-0.21516734258565623</v>
      </c>
      <c r="G16" s="74" t="str">
        <f>'Performance payments'!G40</f>
        <v>£m (2017-17 FYA CPIH prices)</v>
      </c>
      <c r="H16" s="74"/>
    </row>
    <row r="17" spans="2:8" x14ac:dyDescent="0.2">
      <c r="C17" s="11"/>
      <c r="E17" s="74" t="str">
        <f>'Performance payments'!E41</f>
        <v>South West Water</v>
      </c>
      <c r="F17" s="75">
        <f>'Performance payments'!F41</f>
        <v>0.13772313225850569</v>
      </c>
      <c r="G17" s="74" t="str">
        <f>'Performance payments'!G41</f>
        <v>£m (2017-17 FYA CPIH prices)</v>
      </c>
      <c r="H17" s="74"/>
    </row>
    <row r="18" spans="2:8" x14ac:dyDescent="0.2">
      <c r="C18" s="11"/>
      <c r="E18" s="74" t="str">
        <f>'Performance payments'!E42</f>
        <v>Southern Water</v>
      </c>
      <c r="F18" s="75">
        <f>'Performance payments'!F42</f>
        <v>-0.76726090653708079</v>
      </c>
      <c r="G18" s="74" t="str">
        <f>'Performance payments'!G42</f>
        <v>£m (2017-17 FYA CPIH prices)</v>
      </c>
      <c r="H18" s="74"/>
    </row>
    <row r="19" spans="2:8" x14ac:dyDescent="0.2">
      <c r="C19" s="11"/>
      <c r="E19" s="74" t="str">
        <f>'Performance payments'!E43</f>
        <v>Thames Water</v>
      </c>
      <c r="F19" s="75">
        <f>'Performance payments'!F43</f>
        <v>-3.8814186538461537</v>
      </c>
      <c r="G19" s="74" t="str">
        <f>'Performance payments'!G43</f>
        <v>£m (2017-17 FYA CPIH prices)</v>
      </c>
      <c r="H19" s="74"/>
    </row>
    <row r="20" spans="2:8" x14ac:dyDescent="0.2">
      <c r="C20" s="11"/>
      <c r="E20" s="74" t="str">
        <f>'Performance payments'!E44</f>
        <v>United Utilities</v>
      </c>
      <c r="F20" s="75">
        <f>'Performance payments'!F44</f>
        <v>0.82833382711945747</v>
      </c>
      <c r="G20" s="74" t="str">
        <f>'Performance payments'!G44</f>
        <v>£m (2017-17 FYA CPIH prices)</v>
      </c>
      <c r="H20" s="74"/>
    </row>
    <row r="21" spans="2:8" x14ac:dyDescent="0.2">
      <c r="C21" s="11"/>
      <c r="E21" s="74" t="str">
        <f>'Performance payments'!E45</f>
        <v>Wessex Water</v>
      </c>
      <c r="F21" s="75">
        <f>'Performance payments'!F45</f>
        <v>2.7033887826206464E-2</v>
      </c>
      <c r="G21" s="74" t="str">
        <f>'Performance payments'!G45</f>
        <v>£m (2017-17 FYA CPIH prices)</v>
      </c>
      <c r="H21" s="74"/>
    </row>
    <row r="22" spans="2:8" x14ac:dyDescent="0.2">
      <c r="C22" s="11"/>
      <c r="E22" s="74" t="str">
        <f>'Performance payments'!E46</f>
        <v>Yorkshire Water</v>
      </c>
      <c r="F22" s="75">
        <f>'Performance payments'!F46</f>
        <v>-0.90175105675590506</v>
      </c>
      <c r="G22" s="74" t="str">
        <f>'Performance payments'!G46</f>
        <v>£m (2017-17 FYA CPIH prices)</v>
      </c>
      <c r="H22" s="74"/>
    </row>
    <row r="23" spans="2:8" x14ac:dyDescent="0.2">
      <c r="C23" s="11"/>
    </row>
    <row r="24" spans="2:8" x14ac:dyDescent="0.2">
      <c r="B24" s="10" t="s">
        <v>253</v>
      </c>
      <c r="C24" s="11"/>
    </row>
    <row r="25" spans="2:8" x14ac:dyDescent="0.2">
      <c r="C25" s="11"/>
      <c r="E25" s="74" t="str">
        <f>'Performance payments'!E49</f>
        <v>Affinity Water</v>
      </c>
      <c r="F25" s="75">
        <f>'Performance payments'!F49</f>
        <v>0</v>
      </c>
      <c r="G25" s="74" t="str">
        <f>'Performance payments'!G49</f>
        <v>£m (2017-17 FYA CPIH prices)</v>
      </c>
      <c r="H25" s="74"/>
    </row>
    <row r="26" spans="2:8" x14ac:dyDescent="0.2">
      <c r="C26" s="11"/>
      <c r="E26" s="74" t="str">
        <f>'Performance payments'!E50</f>
        <v>Anglian Water</v>
      </c>
      <c r="F26" s="75">
        <f>'Performance payments'!F50</f>
        <v>1.5789240504172835E-2</v>
      </c>
      <c r="G26" s="74" t="str">
        <f>'Performance payments'!G50</f>
        <v>£m (2017-17 FYA CPIH prices)</v>
      </c>
      <c r="H26" s="74"/>
    </row>
    <row r="27" spans="2:8" x14ac:dyDescent="0.2">
      <c r="C27" s="11"/>
      <c r="E27" s="74" t="str">
        <f>'Performance payments'!E51</f>
        <v>Bristol Water</v>
      </c>
      <c r="F27" s="75" t="e">
        <f>'Performance payments'!F51</f>
        <v>#VALUE!</v>
      </c>
      <c r="G27" s="74" t="str">
        <f>'Performance payments'!G51</f>
        <v>£m (2017-17 FYA CPIH prices)</v>
      </c>
      <c r="H27" s="74"/>
    </row>
    <row r="28" spans="2:8" x14ac:dyDescent="0.2">
      <c r="C28" s="11"/>
      <c r="E28" s="74" t="str">
        <f>'Performance payments'!E52</f>
        <v>Dŵr Cymru</v>
      </c>
      <c r="F28" s="75">
        <f>'Performance payments'!F52</f>
        <v>-0.17175814966683739</v>
      </c>
      <c r="G28" s="74" t="str">
        <f>'Performance payments'!G52</f>
        <v>£m (2017-17 FYA CPIH prices)</v>
      </c>
      <c r="H28" s="74"/>
    </row>
    <row r="29" spans="2:8" x14ac:dyDescent="0.2">
      <c r="C29" s="11"/>
      <c r="E29" s="74" t="str">
        <f>'Performance payments'!E53</f>
        <v>Hafren Dyfrdwy</v>
      </c>
      <c r="F29" s="75">
        <f>'Performance payments'!F53</f>
        <v>2.8911603361115234E-3</v>
      </c>
      <c r="G29" s="74" t="str">
        <f>'Performance payments'!G53</f>
        <v>£m (2017-17 FYA CPIH prices)</v>
      </c>
      <c r="H29" s="74"/>
    </row>
    <row r="30" spans="2:8" x14ac:dyDescent="0.2">
      <c r="C30" s="11"/>
      <c r="E30" s="74" t="str">
        <f>'Performance payments'!E54</f>
        <v>Northumbrian Water</v>
      </c>
      <c r="F30" s="75">
        <f>'Performance payments'!F54</f>
        <v>7.6625398278453452E-2</v>
      </c>
      <c r="G30" s="74" t="str">
        <f>'Performance payments'!G54</f>
        <v>£m (2017-17 FYA CPIH prices)</v>
      </c>
      <c r="H30" s="74"/>
    </row>
    <row r="31" spans="2:8" x14ac:dyDescent="0.2">
      <c r="C31" s="11"/>
      <c r="E31" s="74" t="str">
        <f>'Performance payments'!E55</f>
        <v>Portsmouth Water</v>
      </c>
      <c r="F31" s="75">
        <f>'Performance payments'!F55</f>
        <v>0</v>
      </c>
      <c r="G31" s="74" t="str">
        <f>'Performance payments'!G55</f>
        <v>£m (2017-17 FYA CPIH prices)</v>
      </c>
      <c r="H31" s="74"/>
    </row>
    <row r="32" spans="2:8" x14ac:dyDescent="0.2">
      <c r="C32" s="11"/>
      <c r="E32" s="74" t="str">
        <f>'Performance payments'!E56</f>
        <v>SES Water</v>
      </c>
      <c r="F32" s="75">
        <f>'Performance payments'!F56</f>
        <v>0</v>
      </c>
      <c r="G32" s="74" t="str">
        <f>'Performance payments'!G56</f>
        <v>£m (2017-17 FYA CPIH prices)</v>
      </c>
      <c r="H32" s="74"/>
    </row>
    <row r="33" spans="1:8" x14ac:dyDescent="0.2">
      <c r="C33" s="11"/>
      <c r="E33" s="74" t="str">
        <f>'Performance payments'!E57</f>
        <v>Severn Trent Water</v>
      </c>
      <c r="F33" s="75">
        <f>'Performance payments'!F57</f>
        <v>0.91814534806667703</v>
      </c>
      <c r="G33" s="74" t="str">
        <f>'Performance payments'!G57</f>
        <v>£m (2017-17 FYA CPIH prices)</v>
      </c>
      <c r="H33" s="74"/>
    </row>
    <row r="34" spans="1:8" x14ac:dyDescent="0.2">
      <c r="C34" s="11"/>
      <c r="E34" s="74" t="str">
        <f>'Performance payments'!E58</f>
        <v>South East Water</v>
      </c>
      <c r="F34" s="75">
        <f>'Performance payments'!F58</f>
        <v>0</v>
      </c>
      <c r="G34" s="74" t="str">
        <f>'Performance payments'!G58</f>
        <v>£m (2017-17 FYA CPIH prices)</v>
      </c>
      <c r="H34" s="74"/>
    </row>
    <row r="35" spans="1:8" x14ac:dyDescent="0.2">
      <c r="C35" s="11"/>
      <c r="E35" s="74" t="str">
        <f>'Performance payments'!E59</f>
        <v>South Staffs Water</v>
      </c>
      <c r="F35" s="75">
        <f>'Performance payments'!F59</f>
        <v>0</v>
      </c>
      <c r="G35" s="74" t="str">
        <f>'Performance payments'!G59</f>
        <v>£m (2017-17 FYA CPIH prices)</v>
      </c>
      <c r="H35" s="74"/>
    </row>
    <row r="36" spans="1:8" x14ac:dyDescent="0.2">
      <c r="C36" s="11"/>
      <c r="E36" s="74" t="str">
        <f>'Performance payments'!E60</f>
        <v>South West Water</v>
      </c>
      <c r="F36" s="75">
        <f>'Performance payments'!F60</f>
        <v>8.8018958874163417E-2</v>
      </c>
      <c r="G36" s="74" t="str">
        <f>'Performance payments'!G60</f>
        <v>£m (2017-17 FYA CPIH prices)</v>
      </c>
      <c r="H36" s="74"/>
    </row>
    <row r="37" spans="1:8" x14ac:dyDescent="0.2">
      <c r="C37" s="11"/>
      <c r="E37" s="74" t="str">
        <f>'Performance payments'!E61</f>
        <v>Southern Water</v>
      </c>
      <c r="F37" s="75">
        <f>'Performance payments'!F61</f>
        <v>-0.97925710868193705</v>
      </c>
      <c r="G37" s="74" t="str">
        <f>'Performance payments'!G61</f>
        <v>£m (2017-17 FYA CPIH prices)</v>
      </c>
      <c r="H37" s="74"/>
    </row>
    <row r="38" spans="1:8" x14ac:dyDescent="0.2">
      <c r="C38" s="11"/>
      <c r="E38" s="74" t="str">
        <f>'Performance payments'!E62</f>
        <v>Thames Water</v>
      </c>
      <c r="F38" s="75">
        <f>'Performance payments'!F62</f>
        <v>-1.6905651923076923</v>
      </c>
      <c r="G38" s="74" t="str">
        <f>'Performance payments'!G62</f>
        <v>£m (2017-17 FYA CPIH prices)</v>
      </c>
      <c r="H38" s="74"/>
    </row>
    <row r="39" spans="1:8" x14ac:dyDescent="0.2">
      <c r="C39" s="11"/>
      <c r="E39" s="74" t="str">
        <f>'Performance payments'!E63</f>
        <v>United Utilities</v>
      </c>
      <c r="F39" s="75">
        <f>'Performance payments'!F63</f>
        <v>0.26783122897884204</v>
      </c>
      <c r="G39" s="74" t="str">
        <f>'Performance payments'!G63</f>
        <v>£m (2017-17 FYA CPIH prices)</v>
      </c>
      <c r="H39" s="74"/>
    </row>
    <row r="40" spans="1:8" x14ac:dyDescent="0.2">
      <c r="C40" s="11"/>
      <c r="E40" s="74" t="str">
        <f>'Performance payments'!E64</f>
        <v>Wessex Water</v>
      </c>
      <c r="F40" s="75">
        <f>'Performance payments'!F64</f>
        <v>2.8138088878262787E-2</v>
      </c>
      <c r="G40" s="74" t="str">
        <f>'Performance payments'!G64</f>
        <v>£m (2017-17 FYA CPIH prices)</v>
      </c>
      <c r="H40" s="74"/>
    </row>
    <row r="41" spans="1:8" x14ac:dyDescent="0.2">
      <c r="C41" s="11"/>
      <c r="E41" s="74" t="str">
        <f>'Performance payments'!E65</f>
        <v>Yorkshire Water</v>
      </c>
      <c r="F41" s="75">
        <f>'Performance payments'!F65</f>
        <v>-0.7756685477861458</v>
      </c>
      <c r="G41" s="74" t="str">
        <f>'Performance payments'!G65</f>
        <v>£m (2017-17 FYA CPIH prices)</v>
      </c>
      <c r="H41" s="74"/>
    </row>
    <row r="42" spans="1:8" x14ac:dyDescent="0.2">
      <c r="C42" s="11"/>
    </row>
    <row r="43" spans="1:8" s="2" customFormat="1" ht="13.5" x14ac:dyDescent="0.25">
      <c r="A43" s="2" t="s">
        <v>42</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5E06-1FB0-4DFE-B65A-A44CE9089D63}">
  <sheetPr>
    <tabColor theme="4" tint="0.79998168889431442"/>
    <pageSetUpPr fitToPage="1"/>
  </sheetPr>
  <dimension ref="A1:F105"/>
  <sheetViews>
    <sheetView zoomScale="80" zoomScaleNormal="80" workbookViewId="0">
      <selection activeCell="F10" sqref="F10"/>
    </sheetView>
  </sheetViews>
  <sheetFormatPr defaultRowHeight="12.75" x14ac:dyDescent="0.2"/>
  <cols>
    <col min="1" max="1" width="8.42578125" bestFit="1" customWidth="1"/>
    <col min="2" max="2" width="26.28515625" bestFit="1" customWidth="1"/>
    <col min="3" max="3" width="64.7109375" bestFit="1" customWidth="1"/>
    <col min="4" max="4" width="4.28515625" bestFit="1" customWidth="1"/>
    <col min="5" max="5" width="20.7109375" customWidth="1"/>
    <col min="6" max="6" width="7.5703125" bestFit="1" customWidth="1"/>
  </cols>
  <sheetData>
    <row r="1" spans="1:6" ht="15" x14ac:dyDescent="0.25">
      <c r="C1" s="190" t="s">
        <v>255</v>
      </c>
      <c r="D1" s="191"/>
      <c r="E1" s="190" t="s">
        <v>256</v>
      </c>
    </row>
    <row r="2" spans="1:6" x14ac:dyDescent="0.2">
      <c r="A2" t="s">
        <v>111</v>
      </c>
      <c r="B2" t="s">
        <v>148</v>
      </c>
      <c r="C2" t="s">
        <v>149</v>
      </c>
      <c r="D2" t="s">
        <v>150</v>
      </c>
      <c r="E2" t="s">
        <v>151</v>
      </c>
      <c r="F2" t="str">
        <f>Outputs!$F$1</f>
        <v>2023-24</v>
      </c>
    </row>
    <row r="4" spans="1:6" ht="14.25" x14ac:dyDescent="0.2">
      <c r="A4" t="s">
        <v>113</v>
      </c>
      <c r="B4" t="s">
        <v>257</v>
      </c>
      <c r="C4" s="111" t="s">
        <v>258</v>
      </c>
      <c r="D4" t="s">
        <v>166</v>
      </c>
      <c r="E4" s="191" t="s">
        <v>259</v>
      </c>
      <c r="F4" s="112">
        <f>Outputs!F6</f>
        <v>-1.7534942632969296E-2</v>
      </c>
    </row>
    <row r="5" spans="1:6" ht="14.25" x14ac:dyDescent="0.2">
      <c r="A5" t="s">
        <v>113</v>
      </c>
      <c r="B5" t="s">
        <v>260</v>
      </c>
      <c r="C5" s="111" t="s">
        <v>261</v>
      </c>
      <c r="D5" t="s">
        <v>166</v>
      </c>
      <c r="E5" s="191" t="s">
        <v>259</v>
      </c>
      <c r="F5" s="112">
        <f>Outputs!F25</f>
        <v>0</v>
      </c>
    </row>
    <row r="6" spans="1:6" ht="15" x14ac:dyDescent="0.25">
      <c r="A6" t="s">
        <v>113</v>
      </c>
      <c r="B6" s="192" t="s">
        <v>262</v>
      </c>
      <c r="C6" s="192" t="s">
        <v>263</v>
      </c>
      <c r="D6" s="192" t="s">
        <v>191</v>
      </c>
      <c r="E6" s="193" t="s">
        <v>259</v>
      </c>
      <c r="F6" s="194" t="str">
        <f ca="1">CONCATENATE("[…]", TEXT(NOW(),"dd/mm/yyy hh:mm:ss"))</f>
        <v>[…]16/07/2025 13:16:13</v>
      </c>
    </row>
    <row r="7" spans="1:6" ht="15" x14ac:dyDescent="0.25">
      <c r="A7" t="s">
        <v>113</v>
      </c>
      <c r="B7" s="192" t="s">
        <v>264</v>
      </c>
      <c r="C7" s="192" t="s">
        <v>265</v>
      </c>
      <c r="D7" s="192" t="s">
        <v>191</v>
      </c>
      <c r="E7" s="193" t="s">
        <v>259</v>
      </c>
      <c r="F7" s="193" t="str">
        <f ca="1">MID(CELL("filename"),SEARCH("[",CELL("filename"))+1,SEARCH("]",CELL("filename"))-SEARCH("[",CELL("filename"))-1)</f>
        <v>PR24-FD-PD03-Developer-measure-of-experience-D-MeX.xlsx</v>
      </c>
    </row>
    <row r="8" spans="1:6" ht="15" x14ac:dyDescent="0.25">
      <c r="A8" t="s">
        <v>113</v>
      </c>
      <c r="B8" s="192" t="s">
        <v>266</v>
      </c>
      <c r="C8" s="192" t="s">
        <v>267</v>
      </c>
      <c r="D8" s="192" t="s">
        <v>191</v>
      </c>
      <c r="E8" s="193" t="s">
        <v>259</v>
      </c>
      <c r="F8" s="193" t="s">
        <v>268</v>
      </c>
    </row>
    <row r="9" spans="1:6" ht="15" x14ac:dyDescent="0.25">
      <c r="A9" t="s">
        <v>113</v>
      </c>
      <c r="B9" s="192" t="s">
        <v>269</v>
      </c>
      <c r="C9" s="192" t="s">
        <v>270</v>
      </c>
      <c r="D9" s="192" t="s">
        <v>271</v>
      </c>
      <c r="E9" s="193" t="s">
        <v>259</v>
      </c>
      <c r="F9" s="193">
        <f>IF(SUM(InpOverride!$F$7:$M$330)&gt;0,1,0)</f>
        <v>1</v>
      </c>
    </row>
    <row r="10" spans="1:6" ht="14.25" x14ac:dyDescent="0.2">
      <c r="A10" t="s">
        <v>115</v>
      </c>
      <c r="B10" t="s">
        <v>257</v>
      </c>
      <c r="C10" s="111" t="s">
        <v>258</v>
      </c>
      <c r="D10" t="s">
        <v>166</v>
      </c>
      <c r="E10" s="191" t="s">
        <v>259</v>
      </c>
      <c r="F10" s="112">
        <f>Outputs!F7</f>
        <v>2.7355185817744362E-2</v>
      </c>
    </row>
    <row r="11" spans="1:6" ht="14.25" x14ac:dyDescent="0.2">
      <c r="A11" t="s">
        <v>115</v>
      </c>
      <c r="B11" t="s">
        <v>260</v>
      </c>
      <c r="C11" s="111" t="s">
        <v>261</v>
      </c>
      <c r="D11" t="s">
        <v>166</v>
      </c>
      <c r="E11" s="191" t="s">
        <v>259</v>
      </c>
      <c r="F11" s="112">
        <f>Outputs!F26</f>
        <v>1.5789240504172835E-2</v>
      </c>
    </row>
    <row r="12" spans="1:6" ht="15" x14ac:dyDescent="0.25">
      <c r="A12" t="s">
        <v>115</v>
      </c>
      <c r="B12" s="192" t="s">
        <v>262</v>
      </c>
      <c r="C12" s="192" t="s">
        <v>263</v>
      </c>
      <c r="D12" s="192" t="s">
        <v>191</v>
      </c>
      <c r="E12" s="193" t="s">
        <v>259</v>
      </c>
      <c r="F12" s="194" t="str">
        <f ca="1">CONCATENATE("[…]", TEXT(NOW(),"dd/mm/yyy hh:mm:ss"))</f>
        <v>[…]16/07/2025 13:16:13</v>
      </c>
    </row>
    <row r="13" spans="1:6" ht="15" x14ac:dyDescent="0.25">
      <c r="A13" t="s">
        <v>115</v>
      </c>
      <c r="B13" s="192" t="s">
        <v>264</v>
      </c>
      <c r="C13" s="192" t="s">
        <v>265</v>
      </c>
      <c r="D13" s="192" t="s">
        <v>191</v>
      </c>
      <c r="E13" s="193" t="s">
        <v>259</v>
      </c>
      <c r="F13" s="193" t="str">
        <f ca="1">MID(CELL("filename"),SEARCH("[",CELL("filename"))+1,SEARCH("]",CELL("filename"))-SEARCH("[",CELL("filename"))-1)</f>
        <v>PR24-FD-PD03-Developer-measure-of-experience-D-MeX.xlsx</v>
      </c>
    </row>
    <row r="14" spans="1:6" ht="15" x14ac:dyDescent="0.25">
      <c r="A14" t="s">
        <v>115</v>
      </c>
      <c r="B14" s="192" t="s">
        <v>266</v>
      </c>
      <c r="C14" s="192" t="s">
        <v>267</v>
      </c>
      <c r="D14" s="192" t="s">
        <v>191</v>
      </c>
      <c r="E14" s="193" t="s">
        <v>259</v>
      </c>
      <c r="F14" s="193" t="s">
        <v>268</v>
      </c>
    </row>
    <row r="15" spans="1:6" ht="15" x14ac:dyDescent="0.25">
      <c r="A15" t="s">
        <v>115</v>
      </c>
      <c r="B15" s="192" t="s">
        <v>269</v>
      </c>
      <c r="C15" s="192" t="s">
        <v>270</v>
      </c>
      <c r="D15" s="192" t="s">
        <v>271</v>
      </c>
      <c r="E15" s="193" t="s">
        <v>259</v>
      </c>
      <c r="F15" s="193">
        <f>IF(SUM(InpOverride!$F$7:$M$330)&gt;0,1,0)</f>
        <v>1</v>
      </c>
    </row>
    <row r="16" spans="1:6" ht="14.25" x14ac:dyDescent="0.2">
      <c r="A16" t="s">
        <v>117</v>
      </c>
      <c r="B16" t="s">
        <v>257</v>
      </c>
      <c r="C16" s="111" t="s">
        <v>258</v>
      </c>
      <c r="D16" t="s">
        <v>166</v>
      </c>
      <c r="E16" s="191" t="s">
        <v>259</v>
      </c>
      <c r="F16" s="112">
        <f>Outputs!F8</f>
        <v>0</v>
      </c>
    </row>
    <row r="17" spans="1:6" ht="14.25" x14ac:dyDescent="0.2">
      <c r="A17" t="s">
        <v>117</v>
      </c>
      <c r="B17" t="s">
        <v>260</v>
      </c>
      <c r="C17" s="111" t="s">
        <v>261</v>
      </c>
      <c r="D17" t="s">
        <v>166</v>
      </c>
      <c r="E17" s="191" t="s">
        <v>259</v>
      </c>
      <c r="F17" s="112" t="e">
        <f>Outputs!F27</f>
        <v>#VALUE!</v>
      </c>
    </row>
    <row r="18" spans="1:6" ht="15" x14ac:dyDescent="0.25">
      <c r="A18" t="s">
        <v>117</v>
      </c>
      <c r="B18" s="192" t="s">
        <v>262</v>
      </c>
      <c r="C18" s="192" t="s">
        <v>263</v>
      </c>
      <c r="D18" s="192" t="s">
        <v>191</v>
      </c>
      <c r="E18" s="193" t="s">
        <v>259</v>
      </c>
      <c r="F18" s="194" t="str">
        <f ca="1">CONCATENATE("[…]", TEXT(NOW(),"dd/mm/yyy hh:mm:ss"))</f>
        <v>[…]16/07/2025 13:16:13</v>
      </c>
    </row>
    <row r="19" spans="1:6" ht="15" x14ac:dyDescent="0.25">
      <c r="A19" t="s">
        <v>117</v>
      </c>
      <c r="B19" s="192" t="s">
        <v>264</v>
      </c>
      <c r="C19" s="192" t="s">
        <v>265</v>
      </c>
      <c r="D19" s="192" t="s">
        <v>191</v>
      </c>
      <c r="E19" s="193" t="s">
        <v>259</v>
      </c>
      <c r="F19" s="193" t="str">
        <f ca="1">MID(CELL("filename"),SEARCH("[",CELL("filename"))+1,SEARCH("]",CELL("filename"))-SEARCH("[",CELL("filename"))-1)</f>
        <v>PR24-FD-PD03-Developer-measure-of-experience-D-MeX.xlsx</v>
      </c>
    </row>
    <row r="20" spans="1:6" ht="15" x14ac:dyDescent="0.25">
      <c r="A20" t="s">
        <v>117</v>
      </c>
      <c r="B20" s="192" t="s">
        <v>266</v>
      </c>
      <c r="C20" s="192" t="s">
        <v>267</v>
      </c>
      <c r="D20" s="192" t="s">
        <v>191</v>
      </c>
      <c r="E20" s="193" t="s">
        <v>259</v>
      </c>
      <c r="F20" s="193" t="s">
        <v>268</v>
      </c>
    </row>
    <row r="21" spans="1:6" ht="15" x14ac:dyDescent="0.25">
      <c r="A21" t="s">
        <v>117</v>
      </c>
      <c r="B21" s="192" t="s">
        <v>269</v>
      </c>
      <c r="C21" s="192" t="s">
        <v>270</v>
      </c>
      <c r="D21" s="192" t="s">
        <v>271</v>
      </c>
      <c r="E21" s="193" t="s">
        <v>259</v>
      </c>
      <c r="F21" s="193">
        <f>IF(SUM(InpOverride!$F$7:$M$330)&gt;0,1,0)</f>
        <v>1</v>
      </c>
    </row>
    <row r="22" spans="1:6" ht="14.25" x14ac:dyDescent="0.2">
      <c r="A22" t="s">
        <v>119</v>
      </c>
      <c r="B22" t="s">
        <v>257</v>
      </c>
      <c r="C22" s="111" t="s">
        <v>258</v>
      </c>
      <c r="D22" t="s">
        <v>166</v>
      </c>
      <c r="E22" s="191" t="s">
        <v>259</v>
      </c>
      <c r="F22" s="112">
        <f>Outputs!F9</f>
        <v>-0.80578193943934029</v>
      </c>
    </row>
    <row r="23" spans="1:6" ht="14.25" x14ac:dyDescent="0.2">
      <c r="A23" t="s">
        <v>119</v>
      </c>
      <c r="B23" t="s">
        <v>260</v>
      </c>
      <c r="C23" s="111" t="s">
        <v>261</v>
      </c>
      <c r="D23" t="s">
        <v>166</v>
      </c>
      <c r="E23" s="191" t="s">
        <v>259</v>
      </c>
      <c r="F23" s="112">
        <f>Outputs!F28</f>
        <v>-0.17175814966683739</v>
      </c>
    </row>
    <row r="24" spans="1:6" ht="15" x14ac:dyDescent="0.25">
      <c r="A24" t="s">
        <v>119</v>
      </c>
      <c r="B24" s="192" t="s">
        <v>262</v>
      </c>
      <c r="C24" s="192" t="s">
        <v>263</v>
      </c>
      <c r="D24" s="192" t="s">
        <v>191</v>
      </c>
      <c r="E24" s="193" t="s">
        <v>259</v>
      </c>
      <c r="F24" s="194" t="str">
        <f ca="1">CONCATENATE("[…]", TEXT(NOW(),"dd/mm/yyy hh:mm:ss"))</f>
        <v>[…]16/07/2025 13:16:13</v>
      </c>
    </row>
    <row r="25" spans="1:6" ht="15" x14ac:dyDescent="0.25">
      <c r="A25" t="s">
        <v>119</v>
      </c>
      <c r="B25" s="192" t="s">
        <v>264</v>
      </c>
      <c r="C25" s="192" t="s">
        <v>265</v>
      </c>
      <c r="D25" s="192" t="s">
        <v>191</v>
      </c>
      <c r="E25" s="193" t="s">
        <v>259</v>
      </c>
      <c r="F25" s="193" t="str">
        <f ca="1">MID(CELL("filename"),SEARCH("[",CELL("filename"))+1,SEARCH("]",CELL("filename"))-SEARCH("[",CELL("filename"))-1)</f>
        <v>PR24-FD-PD03-Developer-measure-of-experience-D-MeX.xlsx</v>
      </c>
    </row>
    <row r="26" spans="1:6" ht="15" x14ac:dyDescent="0.25">
      <c r="A26" t="s">
        <v>119</v>
      </c>
      <c r="B26" s="192" t="s">
        <v>266</v>
      </c>
      <c r="C26" s="192" t="s">
        <v>267</v>
      </c>
      <c r="D26" s="192" t="s">
        <v>191</v>
      </c>
      <c r="E26" s="193" t="s">
        <v>259</v>
      </c>
      <c r="F26" s="193" t="s">
        <v>268</v>
      </c>
    </row>
    <row r="27" spans="1:6" ht="15" x14ac:dyDescent="0.25">
      <c r="A27" t="s">
        <v>119</v>
      </c>
      <c r="B27" s="192" t="s">
        <v>269</v>
      </c>
      <c r="C27" s="192" t="s">
        <v>270</v>
      </c>
      <c r="D27" s="192" t="s">
        <v>271</v>
      </c>
      <c r="E27" s="193" t="s">
        <v>259</v>
      </c>
      <c r="F27" s="193">
        <f>IF(SUM(InpOverride!$F$7:$M$330)&gt;0,1,0)</f>
        <v>1</v>
      </c>
    </row>
    <row r="28" spans="1:6" ht="14.25" x14ac:dyDescent="0.2">
      <c r="A28" t="s">
        <v>121</v>
      </c>
      <c r="B28" t="s">
        <v>257</v>
      </c>
      <c r="C28" s="111" t="s">
        <v>258</v>
      </c>
      <c r="D28" t="s">
        <v>166</v>
      </c>
      <c r="E28" s="191" t="s">
        <v>259</v>
      </c>
      <c r="F28" s="112">
        <f>Outputs!F10</f>
        <v>1.5272868732067393E-2</v>
      </c>
    </row>
    <row r="29" spans="1:6" ht="14.25" x14ac:dyDescent="0.2">
      <c r="A29" t="s">
        <v>121</v>
      </c>
      <c r="B29" t="s">
        <v>260</v>
      </c>
      <c r="C29" s="111" t="s">
        <v>261</v>
      </c>
      <c r="D29" t="s">
        <v>166</v>
      </c>
      <c r="E29" s="191" t="s">
        <v>259</v>
      </c>
      <c r="F29" s="112">
        <f>Outputs!F29</f>
        <v>2.8911603361115234E-3</v>
      </c>
    </row>
    <row r="30" spans="1:6" ht="15" x14ac:dyDescent="0.25">
      <c r="A30" t="s">
        <v>121</v>
      </c>
      <c r="B30" s="192" t="s">
        <v>262</v>
      </c>
      <c r="C30" s="192" t="s">
        <v>263</v>
      </c>
      <c r="D30" s="192" t="s">
        <v>191</v>
      </c>
      <c r="E30" s="193" t="s">
        <v>259</v>
      </c>
      <c r="F30" s="194" t="str">
        <f ca="1">CONCATENATE("[…]", TEXT(NOW(),"dd/mm/yyy hh:mm:ss"))</f>
        <v>[…]16/07/2025 13:16:13</v>
      </c>
    </row>
    <row r="31" spans="1:6" ht="15" x14ac:dyDescent="0.25">
      <c r="A31" t="s">
        <v>121</v>
      </c>
      <c r="B31" s="192" t="s">
        <v>264</v>
      </c>
      <c r="C31" s="192" t="s">
        <v>265</v>
      </c>
      <c r="D31" s="192" t="s">
        <v>191</v>
      </c>
      <c r="E31" s="193" t="s">
        <v>259</v>
      </c>
      <c r="F31" s="193" t="str">
        <f ca="1">MID(CELL("filename"),SEARCH("[",CELL("filename"))+1,SEARCH("]",CELL("filename"))-SEARCH("[",CELL("filename"))-1)</f>
        <v>PR24-FD-PD03-Developer-measure-of-experience-D-MeX.xlsx</v>
      </c>
    </row>
    <row r="32" spans="1:6" ht="15" x14ac:dyDescent="0.25">
      <c r="A32" t="s">
        <v>121</v>
      </c>
      <c r="B32" s="192" t="s">
        <v>266</v>
      </c>
      <c r="C32" s="192" t="s">
        <v>267</v>
      </c>
      <c r="D32" s="192" t="s">
        <v>191</v>
      </c>
      <c r="E32" s="193" t="s">
        <v>259</v>
      </c>
      <c r="F32" s="193" t="s">
        <v>268</v>
      </c>
    </row>
    <row r="33" spans="1:6" ht="15" x14ac:dyDescent="0.25">
      <c r="A33" t="s">
        <v>121</v>
      </c>
      <c r="B33" s="192" t="s">
        <v>269</v>
      </c>
      <c r="C33" s="192" t="s">
        <v>270</v>
      </c>
      <c r="D33" s="192" t="s">
        <v>271</v>
      </c>
      <c r="E33" s="193" t="s">
        <v>259</v>
      </c>
      <c r="F33" s="193">
        <f>IF(SUM(InpOverride!$F$7:$M$330)&gt;0,1,0)</f>
        <v>1</v>
      </c>
    </row>
    <row r="34" spans="1:6" ht="14.25" x14ac:dyDescent="0.2">
      <c r="A34" t="s">
        <v>123</v>
      </c>
      <c r="B34" t="s">
        <v>257</v>
      </c>
      <c r="C34" s="111" t="s">
        <v>258</v>
      </c>
      <c r="D34" t="s">
        <v>166</v>
      </c>
      <c r="E34" s="191" t="s">
        <v>259</v>
      </c>
      <c r="F34" s="112">
        <f>Outputs!F11</f>
        <v>0.56174781117639105</v>
      </c>
    </row>
    <row r="35" spans="1:6" ht="14.25" x14ac:dyDescent="0.2">
      <c r="A35" t="s">
        <v>123</v>
      </c>
      <c r="B35" t="s">
        <v>260</v>
      </c>
      <c r="C35" s="111" t="s">
        <v>261</v>
      </c>
      <c r="D35" t="s">
        <v>166</v>
      </c>
      <c r="E35" s="191" t="s">
        <v>259</v>
      </c>
      <c r="F35" s="112">
        <f>Outputs!F30</f>
        <v>7.6625398278453452E-2</v>
      </c>
    </row>
    <row r="36" spans="1:6" ht="15" x14ac:dyDescent="0.25">
      <c r="A36" t="s">
        <v>123</v>
      </c>
      <c r="B36" s="192" t="s">
        <v>262</v>
      </c>
      <c r="C36" s="192" t="s">
        <v>263</v>
      </c>
      <c r="D36" s="192" t="s">
        <v>191</v>
      </c>
      <c r="E36" s="193" t="s">
        <v>259</v>
      </c>
      <c r="F36" s="194" t="str">
        <f ca="1">CONCATENATE("[…]", TEXT(NOW(),"dd/mm/yyy hh:mm:ss"))</f>
        <v>[…]16/07/2025 13:16:13</v>
      </c>
    </row>
    <row r="37" spans="1:6" ht="15" x14ac:dyDescent="0.25">
      <c r="A37" t="s">
        <v>123</v>
      </c>
      <c r="B37" s="192" t="s">
        <v>264</v>
      </c>
      <c r="C37" s="192" t="s">
        <v>265</v>
      </c>
      <c r="D37" s="192" t="s">
        <v>191</v>
      </c>
      <c r="E37" s="193" t="s">
        <v>259</v>
      </c>
      <c r="F37" s="193" t="str">
        <f ca="1">MID(CELL("filename"),SEARCH("[",CELL("filename"))+1,SEARCH("]",CELL("filename"))-SEARCH("[",CELL("filename"))-1)</f>
        <v>PR24-FD-PD03-Developer-measure-of-experience-D-MeX.xlsx</v>
      </c>
    </row>
    <row r="38" spans="1:6" ht="15" x14ac:dyDescent="0.25">
      <c r="A38" t="s">
        <v>123</v>
      </c>
      <c r="B38" s="192" t="s">
        <v>266</v>
      </c>
      <c r="C38" s="192" t="s">
        <v>267</v>
      </c>
      <c r="D38" s="192" t="s">
        <v>191</v>
      </c>
      <c r="E38" s="193" t="s">
        <v>259</v>
      </c>
      <c r="F38" s="193" t="s">
        <v>268</v>
      </c>
    </row>
    <row r="39" spans="1:6" ht="15" x14ac:dyDescent="0.25">
      <c r="A39" t="s">
        <v>123</v>
      </c>
      <c r="B39" s="192" t="s">
        <v>269</v>
      </c>
      <c r="C39" s="192" t="s">
        <v>270</v>
      </c>
      <c r="D39" s="192" t="s">
        <v>271</v>
      </c>
      <c r="E39" s="193" t="s">
        <v>259</v>
      </c>
      <c r="F39" s="193">
        <f>IF(SUM(InpOverride!$F$7:$M$330)&gt;0,1,0)</f>
        <v>1</v>
      </c>
    </row>
    <row r="40" spans="1:6" ht="14.25" x14ac:dyDescent="0.2">
      <c r="A40" t="s">
        <v>125</v>
      </c>
      <c r="B40" t="s">
        <v>257</v>
      </c>
      <c r="C40" s="111" t="s">
        <v>258</v>
      </c>
      <c r="D40" t="s">
        <v>166</v>
      </c>
      <c r="E40" s="191" t="s">
        <v>259</v>
      </c>
      <c r="F40" s="112">
        <f>Outputs!F12</f>
        <v>0.10757519230769232</v>
      </c>
    </row>
    <row r="41" spans="1:6" ht="14.25" x14ac:dyDescent="0.2">
      <c r="A41" t="s">
        <v>125</v>
      </c>
      <c r="B41" t="s">
        <v>260</v>
      </c>
      <c r="C41" s="111" t="s">
        <v>261</v>
      </c>
      <c r="D41" t="s">
        <v>166</v>
      </c>
      <c r="E41" s="191" t="s">
        <v>259</v>
      </c>
      <c r="F41" s="112">
        <f>Outputs!F31</f>
        <v>0</v>
      </c>
    </row>
    <row r="42" spans="1:6" ht="15" x14ac:dyDescent="0.25">
      <c r="A42" t="s">
        <v>125</v>
      </c>
      <c r="B42" s="192" t="s">
        <v>262</v>
      </c>
      <c r="C42" s="192" t="s">
        <v>263</v>
      </c>
      <c r="D42" s="192" t="s">
        <v>191</v>
      </c>
      <c r="E42" s="193" t="s">
        <v>259</v>
      </c>
      <c r="F42" s="194" t="str">
        <f ca="1">CONCATENATE("[…]", TEXT(NOW(),"dd/mm/yyy hh:mm:ss"))</f>
        <v>[…]16/07/2025 13:16:13</v>
      </c>
    </row>
    <row r="43" spans="1:6" ht="15" x14ac:dyDescent="0.25">
      <c r="A43" t="s">
        <v>125</v>
      </c>
      <c r="B43" s="192" t="s">
        <v>264</v>
      </c>
      <c r="C43" s="192" t="s">
        <v>265</v>
      </c>
      <c r="D43" s="192" t="s">
        <v>191</v>
      </c>
      <c r="E43" s="193" t="s">
        <v>259</v>
      </c>
      <c r="F43" s="193" t="str">
        <f ca="1">MID(CELL("filename"),SEARCH("[",CELL("filename"))+1,SEARCH("]",CELL("filename"))-SEARCH("[",CELL("filename"))-1)</f>
        <v>PR24-FD-PD03-Developer-measure-of-experience-D-MeX.xlsx</v>
      </c>
    </row>
    <row r="44" spans="1:6" ht="15" x14ac:dyDescent="0.25">
      <c r="A44" t="s">
        <v>125</v>
      </c>
      <c r="B44" s="192" t="s">
        <v>266</v>
      </c>
      <c r="C44" s="192" t="s">
        <v>267</v>
      </c>
      <c r="D44" s="192" t="s">
        <v>191</v>
      </c>
      <c r="E44" s="193" t="s">
        <v>259</v>
      </c>
      <c r="F44" s="193" t="s">
        <v>268</v>
      </c>
    </row>
    <row r="45" spans="1:6" ht="15" x14ac:dyDescent="0.25">
      <c r="A45" t="s">
        <v>125</v>
      </c>
      <c r="B45" s="192" t="s">
        <v>269</v>
      </c>
      <c r="C45" s="192" t="s">
        <v>270</v>
      </c>
      <c r="D45" s="192" t="s">
        <v>271</v>
      </c>
      <c r="E45" s="193" t="s">
        <v>259</v>
      </c>
      <c r="F45" s="193">
        <f>IF(SUM(InpOverride!$F$7:$M$330)&gt;0,1,0)</f>
        <v>1</v>
      </c>
    </row>
    <row r="46" spans="1:6" ht="14.25" x14ac:dyDescent="0.2">
      <c r="A46" t="s">
        <v>127</v>
      </c>
      <c r="B46" t="s">
        <v>257</v>
      </c>
      <c r="C46" s="111" t="s">
        <v>258</v>
      </c>
      <c r="D46" t="s">
        <v>166</v>
      </c>
      <c r="E46" s="191" t="s">
        <v>259</v>
      </c>
      <c r="F46" s="112">
        <f>Outputs!F13</f>
        <v>-8.1260988053463531E-2</v>
      </c>
    </row>
    <row r="47" spans="1:6" ht="14.25" x14ac:dyDescent="0.2">
      <c r="A47" t="s">
        <v>127</v>
      </c>
      <c r="B47" t="s">
        <v>260</v>
      </c>
      <c r="C47" s="111" t="s">
        <v>261</v>
      </c>
      <c r="D47" t="s">
        <v>166</v>
      </c>
      <c r="E47" s="191" t="s">
        <v>259</v>
      </c>
      <c r="F47" s="112">
        <f>Outputs!F32</f>
        <v>0</v>
      </c>
    </row>
    <row r="48" spans="1:6" ht="15" x14ac:dyDescent="0.25">
      <c r="A48" t="s">
        <v>127</v>
      </c>
      <c r="B48" s="192" t="s">
        <v>262</v>
      </c>
      <c r="C48" s="192" t="s">
        <v>263</v>
      </c>
      <c r="D48" s="192" t="s">
        <v>191</v>
      </c>
      <c r="E48" s="193" t="s">
        <v>259</v>
      </c>
      <c r="F48" s="194" t="str">
        <f ca="1">CONCATENATE("[…]", TEXT(NOW(),"dd/mm/yyy hh:mm:ss"))</f>
        <v>[…]16/07/2025 13:16:13</v>
      </c>
    </row>
    <row r="49" spans="1:6" ht="15" x14ac:dyDescent="0.25">
      <c r="A49" t="s">
        <v>127</v>
      </c>
      <c r="B49" s="192" t="s">
        <v>264</v>
      </c>
      <c r="C49" s="192" t="s">
        <v>265</v>
      </c>
      <c r="D49" s="192" t="s">
        <v>191</v>
      </c>
      <c r="E49" s="193" t="s">
        <v>259</v>
      </c>
      <c r="F49" s="193" t="str">
        <f ca="1">MID(CELL("filename"),SEARCH("[",CELL("filename"))+1,SEARCH("]",CELL("filename"))-SEARCH("[",CELL("filename"))-1)</f>
        <v>PR24-FD-PD03-Developer-measure-of-experience-D-MeX.xlsx</v>
      </c>
    </row>
    <row r="50" spans="1:6" ht="15" x14ac:dyDescent="0.25">
      <c r="A50" t="s">
        <v>127</v>
      </c>
      <c r="B50" s="192" t="s">
        <v>266</v>
      </c>
      <c r="C50" s="192" t="s">
        <v>267</v>
      </c>
      <c r="D50" s="192" t="s">
        <v>191</v>
      </c>
      <c r="E50" s="193" t="s">
        <v>259</v>
      </c>
      <c r="F50" s="193" t="s">
        <v>268</v>
      </c>
    </row>
    <row r="51" spans="1:6" ht="15" x14ac:dyDescent="0.25">
      <c r="A51" t="s">
        <v>127</v>
      </c>
      <c r="B51" s="192" t="s">
        <v>269</v>
      </c>
      <c r="C51" s="192" t="s">
        <v>270</v>
      </c>
      <c r="D51" s="192" t="s">
        <v>271</v>
      </c>
      <c r="E51" s="193" t="s">
        <v>259</v>
      </c>
      <c r="F51" s="193">
        <f>IF(SUM(InpOverride!$F$7:$M$330)&gt;0,1,0)</f>
        <v>1</v>
      </c>
    </row>
    <row r="52" spans="1:6" ht="14.25" x14ac:dyDescent="0.2">
      <c r="A52" t="s">
        <v>129</v>
      </c>
      <c r="B52" t="s">
        <v>257</v>
      </c>
      <c r="C52" s="111" t="s">
        <v>258</v>
      </c>
      <c r="D52" t="s">
        <v>166</v>
      </c>
      <c r="E52" s="191" t="s">
        <v>259</v>
      </c>
      <c r="F52" s="112">
        <f>Outputs!F14</f>
        <v>1.9986035564967919</v>
      </c>
    </row>
    <row r="53" spans="1:6" ht="14.25" x14ac:dyDescent="0.2">
      <c r="A53" t="s">
        <v>129</v>
      </c>
      <c r="B53" t="s">
        <v>260</v>
      </c>
      <c r="C53" s="111" t="s">
        <v>261</v>
      </c>
      <c r="D53" t="s">
        <v>166</v>
      </c>
      <c r="E53" s="191" t="s">
        <v>259</v>
      </c>
      <c r="F53" s="112">
        <f>Outputs!F33</f>
        <v>0.91814534806667703</v>
      </c>
    </row>
    <row r="54" spans="1:6" ht="15" x14ac:dyDescent="0.25">
      <c r="A54" t="s">
        <v>129</v>
      </c>
      <c r="B54" s="192" t="s">
        <v>262</v>
      </c>
      <c r="C54" s="192" t="s">
        <v>263</v>
      </c>
      <c r="D54" s="192" t="s">
        <v>191</v>
      </c>
      <c r="E54" s="193" t="s">
        <v>259</v>
      </c>
      <c r="F54" s="194" t="str">
        <f ca="1">CONCATENATE("[…]", TEXT(NOW(),"dd/mm/yyy hh:mm:ss"))</f>
        <v>[…]16/07/2025 13:16:13</v>
      </c>
    </row>
    <row r="55" spans="1:6" ht="15" x14ac:dyDescent="0.25">
      <c r="A55" t="s">
        <v>129</v>
      </c>
      <c r="B55" s="192" t="s">
        <v>264</v>
      </c>
      <c r="C55" s="192" t="s">
        <v>265</v>
      </c>
      <c r="D55" s="192" t="s">
        <v>191</v>
      </c>
      <c r="E55" s="193" t="s">
        <v>259</v>
      </c>
      <c r="F55" s="193" t="str">
        <f ca="1">MID(CELL("filename"),SEARCH("[",CELL("filename"))+1,SEARCH("]",CELL("filename"))-SEARCH("[",CELL("filename"))-1)</f>
        <v>PR24-FD-PD03-Developer-measure-of-experience-D-MeX.xlsx</v>
      </c>
    </row>
    <row r="56" spans="1:6" ht="15" x14ac:dyDescent="0.25">
      <c r="A56" t="s">
        <v>129</v>
      </c>
      <c r="B56" s="192" t="s">
        <v>266</v>
      </c>
      <c r="C56" s="192" t="s">
        <v>267</v>
      </c>
      <c r="D56" s="192" t="s">
        <v>191</v>
      </c>
      <c r="E56" s="193" t="s">
        <v>259</v>
      </c>
      <c r="F56" s="193" t="s">
        <v>268</v>
      </c>
    </row>
    <row r="57" spans="1:6" ht="15" x14ac:dyDescent="0.25">
      <c r="A57" t="s">
        <v>129</v>
      </c>
      <c r="B57" s="192" t="s">
        <v>269</v>
      </c>
      <c r="C57" s="192" t="s">
        <v>270</v>
      </c>
      <c r="D57" s="192" t="s">
        <v>271</v>
      </c>
      <c r="E57" s="193" t="s">
        <v>259</v>
      </c>
      <c r="F57" s="193">
        <f>IF(SUM(InpOverride!$F$7:$M$330)&gt;0,1,0)</f>
        <v>1</v>
      </c>
    </row>
    <row r="58" spans="1:6" ht="14.25" x14ac:dyDescent="0.2">
      <c r="A58" t="s">
        <v>131</v>
      </c>
      <c r="B58" t="s">
        <v>257</v>
      </c>
      <c r="C58" s="111" t="s">
        <v>258</v>
      </c>
      <c r="D58" t="s">
        <v>166</v>
      </c>
      <c r="E58" s="191" t="s">
        <v>259</v>
      </c>
      <c r="F58" s="112">
        <f>Outputs!F15</f>
        <v>-0.66779909957418193</v>
      </c>
    </row>
    <row r="59" spans="1:6" ht="14.25" x14ac:dyDescent="0.2">
      <c r="A59" t="s">
        <v>131</v>
      </c>
      <c r="B59" t="s">
        <v>260</v>
      </c>
      <c r="C59" s="111" t="s">
        <v>261</v>
      </c>
      <c r="D59" t="s">
        <v>166</v>
      </c>
      <c r="E59" s="191" t="s">
        <v>259</v>
      </c>
      <c r="F59" s="112">
        <f>Outputs!F34</f>
        <v>0</v>
      </c>
    </row>
    <row r="60" spans="1:6" ht="15" x14ac:dyDescent="0.25">
      <c r="A60" t="s">
        <v>131</v>
      </c>
      <c r="B60" s="192" t="s">
        <v>262</v>
      </c>
      <c r="C60" s="192" t="s">
        <v>263</v>
      </c>
      <c r="D60" s="192" t="s">
        <v>191</v>
      </c>
      <c r="E60" s="193" t="s">
        <v>259</v>
      </c>
      <c r="F60" s="194" t="str">
        <f ca="1">CONCATENATE("[…]", TEXT(NOW(),"dd/mm/yyy hh:mm:ss"))</f>
        <v>[…]16/07/2025 13:16:13</v>
      </c>
    </row>
    <row r="61" spans="1:6" ht="15" x14ac:dyDescent="0.25">
      <c r="A61" t="s">
        <v>131</v>
      </c>
      <c r="B61" s="192" t="s">
        <v>264</v>
      </c>
      <c r="C61" s="192" t="s">
        <v>265</v>
      </c>
      <c r="D61" s="192" t="s">
        <v>191</v>
      </c>
      <c r="E61" s="193" t="s">
        <v>259</v>
      </c>
      <c r="F61" s="193" t="str">
        <f ca="1">MID(CELL("filename"),SEARCH("[",CELL("filename"))+1,SEARCH("]",CELL("filename"))-SEARCH("[",CELL("filename"))-1)</f>
        <v>PR24-FD-PD03-Developer-measure-of-experience-D-MeX.xlsx</v>
      </c>
    </row>
    <row r="62" spans="1:6" ht="15" x14ac:dyDescent="0.25">
      <c r="A62" t="s">
        <v>131</v>
      </c>
      <c r="B62" s="192" t="s">
        <v>266</v>
      </c>
      <c r="C62" s="192" t="s">
        <v>267</v>
      </c>
      <c r="D62" s="192" t="s">
        <v>191</v>
      </c>
      <c r="E62" s="193" t="s">
        <v>259</v>
      </c>
      <c r="F62" s="193" t="s">
        <v>268</v>
      </c>
    </row>
    <row r="63" spans="1:6" ht="15" x14ac:dyDescent="0.25">
      <c r="A63" t="s">
        <v>131</v>
      </c>
      <c r="B63" s="192" t="s">
        <v>269</v>
      </c>
      <c r="C63" s="192" t="s">
        <v>270</v>
      </c>
      <c r="D63" s="192" t="s">
        <v>271</v>
      </c>
      <c r="E63" s="193" t="s">
        <v>259</v>
      </c>
      <c r="F63" s="193">
        <f>IF(SUM(InpOverride!$F$7:$M$330)&gt;0,1,0)</f>
        <v>1</v>
      </c>
    </row>
    <row r="64" spans="1:6" ht="14.25" x14ac:dyDescent="0.2">
      <c r="A64" t="s">
        <v>133</v>
      </c>
      <c r="B64" t="s">
        <v>257</v>
      </c>
      <c r="C64" s="111" t="s">
        <v>258</v>
      </c>
      <c r="D64" t="s">
        <v>166</v>
      </c>
      <c r="E64" s="191" t="s">
        <v>259</v>
      </c>
      <c r="F64" s="112">
        <f>Outputs!F16</f>
        <v>-0.21516734258565623</v>
      </c>
    </row>
    <row r="65" spans="1:6" ht="14.25" x14ac:dyDescent="0.2">
      <c r="A65" t="s">
        <v>133</v>
      </c>
      <c r="B65" t="s">
        <v>260</v>
      </c>
      <c r="C65" s="111" t="s">
        <v>261</v>
      </c>
      <c r="D65" t="s">
        <v>166</v>
      </c>
      <c r="E65" s="191" t="s">
        <v>259</v>
      </c>
      <c r="F65" s="112">
        <f>Outputs!F35</f>
        <v>0</v>
      </c>
    </row>
    <row r="66" spans="1:6" ht="15" x14ac:dyDescent="0.25">
      <c r="A66" t="s">
        <v>133</v>
      </c>
      <c r="B66" s="192" t="s">
        <v>262</v>
      </c>
      <c r="C66" s="192" t="s">
        <v>263</v>
      </c>
      <c r="D66" s="192" t="s">
        <v>191</v>
      </c>
      <c r="E66" s="193" t="s">
        <v>259</v>
      </c>
      <c r="F66" s="194" t="str">
        <f ca="1">CONCATENATE("[…]", TEXT(NOW(),"dd/mm/yyy hh:mm:ss"))</f>
        <v>[…]16/07/2025 13:16:13</v>
      </c>
    </row>
    <row r="67" spans="1:6" ht="15" x14ac:dyDescent="0.25">
      <c r="A67" t="s">
        <v>133</v>
      </c>
      <c r="B67" s="192" t="s">
        <v>264</v>
      </c>
      <c r="C67" s="192" t="s">
        <v>265</v>
      </c>
      <c r="D67" s="192" t="s">
        <v>191</v>
      </c>
      <c r="E67" s="193" t="s">
        <v>259</v>
      </c>
      <c r="F67" s="193" t="str">
        <f ca="1">MID(CELL("filename"),SEARCH("[",CELL("filename"))+1,SEARCH("]",CELL("filename"))-SEARCH("[",CELL("filename"))-1)</f>
        <v>PR24-FD-PD03-Developer-measure-of-experience-D-MeX.xlsx</v>
      </c>
    </row>
    <row r="68" spans="1:6" ht="15" x14ac:dyDescent="0.25">
      <c r="A68" t="s">
        <v>133</v>
      </c>
      <c r="B68" s="192" t="s">
        <v>266</v>
      </c>
      <c r="C68" s="192" t="s">
        <v>267</v>
      </c>
      <c r="D68" s="192" t="s">
        <v>191</v>
      </c>
      <c r="E68" s="193" t="s">
        <v>259</v>
      </c>
      <c r="F68" s="193" t="s">
        <v>268</v>
      </c>
    </row>
    <row r="69" spans="1:6" ht="15" x14ac:dyDescent="0.25">
      <c r="A69" t="s">
        <v>133</v>
      </c>
      <c r="B69" s="192" t="s">
        <v>269</v>
      </c>
      <c r="C69" s="192" t="s">
        <v>270</v>
      </c>
      <c r="D69" s="192" t="s">
        <v>271</v>
      </c>
      <c r="E69" s="193" t="s">
        <v>259</v>
      </c>
      <c r="F69" s="193">
        <f>IF(SUM(InpOverride!$F$7:$M$330)&gt;0,1,0)</f>
        <v>1</v>
      </c>
    </row>
    <row r="70" spans="1:6" ht="14.25" x14ac:dyDescent="0.2">
      <c r="A70" t="s">
        <v>135</v>
      </c>
      <c r="B70" t="s">
        <v>257</v>
      </c>
      <c r="C70" s="111" t="s">
        <v>258</v>
      </c>
      <c r="D70" t="s">
        <v>166</v>
      </c>
      <c r="E70" s="191" t="s">
        <v>259</v>
      </c>
      <c r="F70" s="112">
        <f>Outputs!F17</f>
        <v>0.13772313225850569</v>
      </c>
    </row>
    <row r="71" spans="1:6" ht="14.25" x14ac:dyDescent="0.2">
      <c r="A71" t="s">
        <v>135</v>
      </c>
      <c r="B71" t="s">
        <v>260</v>
      </c>
      <c r="C71" s="111" t="s">
        <v>261</v>
      </c>
      <c r="D71" t="s">
        <v>166</v>
      </c>
      <c r="E71" s="191" t="s">
        <v>259</v>
      </c>
      <c r="F71" s="112">
        <f>Outputs!F36</f>
        <v>8.8018958874163417E-2</v>
      </c>
    </row>
    <row r="72" spans="1:6" ht="15" x14ac:dyDescent="0.25">
      <c r="A72" t="s">
        <v>135</v>
      </c>
      <c r="B72" s="192" t="s">
        <v>262</v>
      </c>
      <c r="C72" s="192" t="s">
        <v>263</v>
      </c>
      <c r="D72" s="192" t="s">
        <v>191</v>
      </c>
      <c r="E72" s="193" t="s">
        <v>259</v>
      </c>
      <c r="F72" s="194" t="str">
        <f ca="1">CONCATENATE("[…]", TEXT(NOW(),"dd/mm/yyy hh:mm:ss"))</f>
        <v>[…]16/07/2025 13:16:13</v>
      </c>
    </row>
    <row r="73" spans="1:6" ht="15" x14ac:dyDescent="0.25">
      <c r="A73" t="s">
        <v>135</v>
      </c>
      <c r="B73" s="192" t="s">
        <v>264</v>
      </c>
      <c r="C73" s="192" t="s">
        <v>265</v>
      </c>
      <c r="D73" s="192" t="s">
        <v>191</v>
      </c>
      <c r="E73" s="193" t="s">
        <v>259</v>
      </c>
      <c r="F73" s="193" t="str">
        <f ca="1">MID(CELL("filename"),SEARCH("[",CELL("filename"))+1,SEARCH("]",CELL("filename"))-SEARCH("[",CELL("filename"))-1)</f>
        <v>PR24-FD-PD03-Developer-measure-of-experience-D-MeX.xlsx</v>
      </c>
    </row>
    <row r="74" spans="1:6" ht="15" x14ac:dyDescent="0.25">
      <c r="A74" t="s">
        <v>135</v>
      </c>
      <c r="B74" s="192" t="s">
        <v>266</v>
      </c>
      <c r="C74" s="192" t="s">
        <v>267</v>
      </c>
      <c r="D74" s="192" t="s">
        <v>191</v>
      </c>
      <c r="E74" s="193" t="s">
        <v>259</v>
      </c>
      <c r="F74" s="193" t="s">
        <v>268</v>
      </c>
    </row>
    <row r="75" spans="1:6" ht="15" x14ac:dyDescent="0.25">
      <c r="A75" t="s">
        <v>135</v>
      </c>
      <c r="B75" s="192" t="s">
        <v>269</v>
      </c>
      <c r="C75" s="192" t="s">
        <v>270</v>
      </c>
      <c r="D75" s="192" t="s">
        <v>271</v>
      </c>
      <c r="E75" s="193" t="s">
        <v>259</v>
      </c>
      <c r="F75" s="193">
        <f>IF(SUM(InpOverride!$F$7:$M$330)&gt;0,1,0)</f>
        <v>1</v>
      </c>
    </row>
    <row r="76" spans="1:6" ht="14.25" x14ac:dyDescent="0.2">
      <c r="A76" t="s">
        <v>137</v>
      </c>
      <c r="B76" t="s">
        <v>257</v>
      </c>
      <c r="C76" s="111" t="s">
        <v>258</v>
      </c>
      <c r="D76" t="s">
        <v>166</v>
      </c>
      <c r="E76" s="191" t="s">
        <v>259</v>
      </c>
      <c r="F76" s="112">
        <f>Outputs!F18</f>
        <v>-0.76726090653708079</v>
      </c>
    </row>
    <row r="77" spans="1:6" ht="14.25" x14ac:dyDescent="0.2">
      <c r="A77" t="s">
        <v>137</v>
      </c>
      <c r="B77" t="s">
        <v>260</v>
      </c>
      <c r="C77" s="111" t="s">
        <v>261</v>
      </c>
      <c r="D77" t="s">
        <v>166</v>
      </c>
      <c r="E77" s="191" t="s">
        <v>259</v>
      </c>
      <c r="F77" s="112">
        <f>Outputs!F37</f>
        <v>-0.97925710868193705</v>
      </c>
    </row>
    <row r="78" spans="1:6" ht="15" x14ac:dyDescent="0.25">
      <c r="A78" t="s">
        <v>137</v>
      </c>
      <c r="B78" s="192" t="s">
        <v>262</v>
      </c>
      <c r="C78" s="192" t="s">
        <v>263</v>
      </c>
      <c r="D78" s="192" t="s">
        <v>191</v>
      </c>
      <c r="E78" s="193" t="s">
        <v>259</v>
      </c>
      <c r="F78" s="194" t="str">
        <f ca="1">CONCATENATE("[…]", TEXT(NOW(),"dd/mm/yyy hh:mm:ss"))</f>
        <v>[…]16/07/2025 13:16:13</v>
      </c>
    </row>
    <row r="79" spans="1:6" ht="15" x14ac:dyDescent="0.25">
      <c r="A79" t="s">
        <v>137</v>
      </c>
      <c r="B79" s="192" t="s">
        <v>264</v>
      </c>
      <c r="C79" s="192" t="s">
        <v>265</v>
      </c>
      <c r="D79" s="192" t="s">
        <v>191</v>
      </c>
      <c r="E79" s="193" t="s">
        <v>259</v>
      </c>
      <c r="F79" s="193" t="str">
        <f ca="1">MID(CELL("filename"),SEARCH("[",CELL("filename"))+1,SEARCH("]",CELL("filename"))-SEARCH("[",CELL("filename"))-1)</f>
        <v>PR24-FD-PD03-Developer-measure-of-experience-D-MeX.xlsx</v>
      </c>
    </row>
    <row r="80" spans="1:6" ht="15" x14ac:dyDescent="0.25">
      <c r="A80" t="s">
        <v>137</v>
      </c>
      <c r="B80" s="192" t="s">
        <v>266</v>
      </c>
      <c r="C80" s="192" t="s">
        <v>267</v>
      </c>
      <c r="D80" s="192" t="s">
        <v>191</v>
      </c>
      <c r="E80" s="193" t="s">
        <v>259</v>
      </c>
      <c r="F80" s="193" t="s">
        <v>268</v>
      </c>
    </row>
    <row r="81" spans="1:6" ht="15" x14ac:dyDescent="0.25">
      <c r="A81" t="s">
        <v>137</v>
      </c>
      <c r="B81" s="192" t="s">
        <v>269</v>
      </c>
      <c r="C81" s="192" t="s">
        <v>270</v>
      </c>
      <c r="D81" s="192" t="s">
        <v>271</v>
      </c>
      <c r="E81" s="193" t="s">
        <v>259</v>
      </c>
      <c r="F81" s="193">
        <f>IF(SUM(InpOverride!$F$7:$M$330)&gt;0,1,0)</f>
        <v>1</v>
      </c>
    </row>
    <row r="82" spans="1:6" ht="14.25" x14ac:dyDescent="0.2">
      <c r="A82" t="s">
        <v>139</v>
      </c>
      <c r="B82" t="s">
        <v>257</v>
      </c>
      <c r="C82" s="111" t="s">
        <v>258</v>
      </c>
      <c r="D82" t="s">
        <v>166</v>
      </c>
      <c r="E82" s="191" t="s">
        <v>259</v>
      </c>
      <c r="F82" s="112">
        <f>Outputs!F19</f>
        <v>-3.8814186538461537</v>
      </c>
    </row>
    <row r="83" spans="1:6" ht="14.25" x14ac:dyDescent="0.2">
      <c r="A83" t="s">
        <v>139</v>
      </c>
      <c r="B83" t="s">
        <v>260</v>
      </c>
      <c r="C83" s="111" t="s">
        <v>261</v>
      </c>
      <c r="D83" t="s">
        <v>166</v>
      </c>
      <c r="E83" s="191" t="s">
        <v>259</v>
      </c>
      <c r="F83" s="112">
        <f>Outputs!F38</f>
        <v>-1.6905651923076923</v>
      </c>
    </row>
    <row r="84" spans="1:6" ht="15" x14ac:dyDescent="0.25">
      <c r="A84" t="s">
        <v>139</v>
      </c>
      <c r="B84" s="192" t="s">
        <v>262</v>
      </c>
      <c r="C84" s="192" t="s">
        <v>263</v>
      </c>
      <c r="D84" s="192" t="s">
        <v>191</v>
      </c>
      <c r="E84" s="193" t="s">
        <v>259</v>
      </c>
      <c r="F84" s="194" t="str">
        <f ca="1">CONCATENATE("[…]", TEXT(NOW(),"dd/mm/yyy hh:mm:ss"))</f>
        <v>[…]16/07/2025 13:16:13</v>
      </c>
    </row>
    <row r="85" spans="1:6" ht="15" x14ac:dyDescent="0.25">
      <c r="A85" t="s">
        <v>139</v>
      </c>
      <c r="B85" s="192" t="s">
        <v>264</v>
      </c>
      <c r="C85" s="192" t="s">
        <v>265</v>
      </c>
      <c r="D85" s="192" t="s">
        <v>191</v>
      </c>
      <c r="E85" s="193" t="s">
        <v>259</v>
      </c>
      <c r="F85" s="193" t="str">
        <f ca="1">MID(CELL("filename"),SEARCH("[",CELL("filename"))+1,SEARCH("]",CELL("filename"))-SEARCH("[",CELL("filename"))-1)</f>
        <v>PR24-FD-PD03-Developer-measure-of-experience-D-MeX.xlsx</v>
      </c>
    </row>
    <row r="86" spans="1:6" ht="15" x14ac:dyDescent="0.25">
      <c r="A86" t="s">
        <v>139</v>
      </c>
      <c r="B86" s="192" t="s">
        <v>266</v>
      </c>
      <c r="C86" s="192" t="s">
        <v>267</v>
      </c>
      <c r="D86" s="192" t="s">
        <v>191</v>
      </c>
      <c r="E86" s="193" t="s">
        <v>259</v>
      </c>
      <c r="F86" s="193" t="s">
        <v>268</v>
      </c>
    </row>
    <row r="87" spans="1:6" ht="15" x14ac:dyDescent="0.25">
      <c r="A87" t="s">
        <v>139</v>
      </c>
      <c r="B87" s="192" t="s">
        <v>269</v>
      </c>
      <c r="C87" s="192" t="s">
        <v>270</v>
      </c>
      <c r="D87" s="192" t="s">
        <v>271</v>
      </c>
      <c r="E87" s="193" t="s">
        <v>259</v>
      </c>
      <c r="F87" s="193">
        <f>IF(SUM(InpOverride!$F$7:$M$330)&gt;0,1,0)</f>
        <v>1</v>
      </c>
    </row>
    <row r="88" spans="1:6" ht="14.25" x14ac:dyDescent="0.2">
      <c r="A88" t="s">
        <v>141</v>
      </c>
      <c r="B88" t="s">
        <v>257</v>
      </c>
      <c r="C88" s="111" t="s">
        <v>258</v>
      </c>
      <c r="D88" t="s">
        <v>166</v>
      </c>
      <c r="E88" s="191" t="s">
        <v>259</v>
      </c>
      <c r="F88" s="112">
        <f>Outputs!F20</f>
        <v>0.82833382711945747</v>
      </c>
    </row>
    <row r="89" spans="1:6" ht="14.25" x14ac:dyDescent="0.2">
      <c r="A89" t="s">
        <v>141</v>
      </c>
      <c r="B89" t="s">
        <v>260</v>
      </c>
      <c r="C89" s="111" t="s">
        <v>261</v>
      </c>
      <c r="D89" t="s">
        <v>166</v>
      </c>
      <c r="E89" s="191" t="s">
        <v>259</v>
      </c>
      <c r="F89" s="112">
        <f>Outputs!F39</f>
        <v>0.26783122897884204</v>
      </c>
    </row>
    <row r="90" spans="1:6" ht="15" x14ac:dyDescent="0.25">
      <c r="A90" t="s">
        <v>141</v>
      </c>
      <c r="B90" s="192" t="s">
        <v>262</v>
      </c>
      <c r="C90" s="192" t="s">
        <v>263</v>
      </c>
      <c r="D90" s="192" t="s">
        <v>191</v>
      </c>
      <c r="E90" s="193" t="s">
        <v>259</v>
      </c>
      <c r="F90" s="194" t="str">
        <f ca="1">CONCATENATE("[…]", TEXT(NOW(),"dd/mm/yyy hh:mm:ss"))</f>
        <v>[…]16/07/2025 13:16:13</v>
      </c>
    </row>
    <row r="91" spans="1:6" ht="15" x14ac:dyDescent="0.25">
      <c r="A91" t="s">
        <v>141</v>
      </c>
      <c r="B91" s="192" t="s">
        <v>264</v>
      </c>
      <c r="C91" s="192" t="s">
        <v>265</v>
      </c>
      <c r="D91" s="192" t="s">
        <v>191</v>
      </c>
      <c r="E91" s="193" t="s">
        <v>259</v>
      </c>
      <c r="F91" s="193" t="str">
        <f ca="1">MID(CELL("filename"),SEARCH("[",CELL("filename"))+1,SEARCH("]",CELL("filename"))-SEARCH("[",CELL("filename"))-1)</f>
        <v>PR24-FD-PD03-Developer-measure-of-experience-D-MeX.xlsx</v>
      </c>
    </row>
    <row r="92" spans="1:6" ht="15" x14ac:dyDescent="0.25">
      <c r="A92" t="s">
        <v>141</v>
      </c>
      <c r="B92" s="192" t="s">
        <v>266</v>
      </c>
      <c r="C92" s="192" t="s">
        <v>267</v>
      </c>
      <c r="D92" s="192" t="s">
        <v>191</v>
      </c>
      <c r="E92" s="193" t="s">
        <v>259</v>
      </c>
      <c r="F92" s="193" t="s">
        <v>268</v>
      </c>
    </row>
    <row r="93" spans="1:6" ht="15" x14ac:dyDescent="0.25">
      <c r="A93" t="s">
        <v>141</v>
      </c>
      <c r="B93" s="192" t="s">
        <v>269</v>
      </c>
      <c r="C93" s="192" t="s">
        <v>270</v>
      </c>
      <c r="D93" s="192" t="s">
        <v>271</v>
      </c>
      <c r="E93" s="193" t="s">
        <v>259</v>
      </c>
      <c r="F93" s="193">
        <f>IF(SUM(InpOverride!$F$7:$M$330)&gt;0,1,0)</f>
        <v>1</v>
      </c>
    </row>
    <row r="94" spans="1:6" ht="14.25" x14ac:dyDescent="0.2">
      <c r="A94" t="s">
        <v>143</v>
      </c>
      <c r="B94" t="s">
        <v>257</v>
      </c>
      <c r="C94" s="111" t="s">
        <v>258</v>
      </c>
      <c r="D94" t="s">
        <v>166</v>
      </c>
      <c r="E94" s="191" t="s">
        <v>259</v>
      </c>
      <c r="F94" s="112">
        <f>Outputs!F21</f>
        <v>2.7033887826206464E-2</v>
      </c>
    </row>
    <row r="95" spans="1:6" ht="14.25" x14ac:dyDescent="0.2">
      <c r="A95" t="s">
        <v>143</v>
      </c>
      <c r="B95" t="s">
        <v>260</v>
      </c>
      <c r="C95" s="111" t="s">
        <v>261</v>
      </c>
      <c r="D95" t="s">
        <v>166</v>
      </c>
      <c r="E95" s="191" t="s">
        <v>259</v>
      </c>
      <c r="F95" s="112">
        <f>Outputs!F40</f>
        <v>2.8138088878262787E-2</v>
      </c>
    </row>
    <row r="96" spans="1:6" ht="15" x14ac:dyDescent="0.25">
      <c r="A96" t="s">
        <v>143</v>
      </c>
      <c r="B96" s="192" t="s">
        <v>262</v>
      </c>
      <c r="C96" s="192" t="s">
        <v>263</v>
      </c>
      <c r="D96" s="192" t="s">
        <v>191</v>
      </c>
      <c r="E96" s="193" t="s">
        <v>259</v>
      </c>
      <c r="F96" s="194" t="str">
        <f ca="1">CONCATENATE("[…]", TEXT(NOW(),"dd/mm/yyy hh:mm:ss"))</f>
        <v>[…]16/07/2025 13:16:13</v>
      </c>
    </row>
    <row r="97" spans="1:6" ht="15" x14ac:dyDescent="0.25">
      <c r="A97" t="s">
        <v>143</v>
      </c>
      <c r="B97" s="192" t="s">
        <v>264</v>
      </c>
      <c r="C97" s="192" t="s">
        <v>265</v>
      </c>
      <c r="D97" s="192" t="s">
        <v>191</v>
      </c>
      <c r="E97" s="193" t="s">
        <v>259</v>
      </c>
      <c r="F97" s="193" t="str">
        <f ca="1">MID(CELL("filename"),SEARCH("[",CELL("filename"))+1,SEARCH("]",CELL("filename"))-SEARCH("[",CELL("filename"))-1)</f>
        <v>PR24-FD-PD03-Developer-measure-of-experience-D-MeX.xlsx</v>
      </c>
    </row>
    <row r="98" spans="1:6" ht="15" x14ac:dyDescent="0.25">
      <c r="A98" t="s">
        <v>143</v>
      </c>
      <c r="B98" s="192" t="s">
        <v>266</v>
      </c>
      <c r="C98" s="192" t="s">
        <v>267</v>
      </c>
      <c r="D98" s="192" t="s">
        <v>191</v>
      </c>
      <c r="E98" s="193" t="s">
        <v>259</v>
      </c>
      <c r="F98" s="193" t="s">
        <v>268</v>
      </c>
    </row>
    <row r="99" spans="1:6" ht="15" x14ac:dyDescent="0.25">
      <c r="A99" t="s">
        <v>143</v>
      </c>
      <c r="B99" s="192" t="s">
        <v>269</v>
      </c>
      <c r="C99" s="192" t="s">
        <v>270</v>
      </c>
      <c r="D99" s="192" t="s">
        <v>271</v>
      </c>
      <c r="E99" s="193" t="s">
        <v>259</v>
      </c>
      <c r="F99" s="193">
        <f>IF(SUM(InpOverride!$F$7:$M$330)&gt;0,1,0)</f>
        <v>1</v>
      </c>
    </row>
    <row r="100" spans="1:6" ht="14.25" x14ac:dyDescent="0.2">
      <c r="A100" t="s">
        <v>145</v>
      </c>
      <c r="B100" t="s">
        <v>257</v>
      </c>
      <c r="C100" s="111" t="s">
        <v>258</v>
      </c>
      <c r="D100" t="s">
        <v>166</v>
      </c>
      <c r="E100" s="191" t="s">
        <v>259</v>
      </c>
      <c r="F100" s="112">
        <f>Outputs!F22</f>
        <v>-0.90175105675590506</v>
      </c>
    </row>
    <row r="101" spans="1:6" ht="14.25" x14ac:dyDescent="0.2">
      <c r="A101" t="s">
        <v>145</v>
      </c>
      <c r="B101" t="s">
        <v>260</v>
      </c>
      <c r="C101" s="111" t="s">
        <v>261</v>
      </c>
      <c r="D101" t="s">
        <v>166</v>
      </c>
      <c r="E101" s="191" t="s">
        <v>259</v>
      </c>
      <c r="F101" s="112">
        <f>Outputs!F41</f>
        <v>-0.7756685477861458</v>
      </c>
    </row>
    <row r="102" spans="1:6" ht="15" x14ac:dyDescent="0.25">
      <c r="A102" t="s">
        <v>145</v>
      </c>
      <c r="B102" s="192" t="s">
        <v>262</v>
      </c>
      <c r="C102" s="192" t="s">
        <v>263</v>
      </c>
      <c r="D102" s="192" t="s">
        <v>191</v>
      </c>
      <c r="E102" s="193" t="s">
        <v>259</v>
      </c>
      <c r="F102" s="194" t="str">
        <f ca="1">CONCATENATE("[…]", TEXT(NOW(),"dd/mm/yyy hh:mm:ss"))</f>
        <v>[…]16/07/2025 13:16:13</v>
      </c>
    </row>
    <row r="103" spans="1:6" ht="15" x14ac:dyDescent="0.25">
      <c r="A103" t="s">
        <v>145</v>
      </c>
      <c r="B103" s="192" t="s">
        <v>264</v>
      </c>
      <c r="C103" s="192" t="s">
        <v>265</v>
      </c>
      <c r="D103" s="192" t="s">
        <v>191</v>
      </c>
      <c r="E103" s="193" t="s">
        <v>259</v>
      </c>
      <c r="F103" s="193" t="str">
        <f ca="1">MID(CELL("filename"),SEARCH("[",CELL("filename"))+1,SEARCH("]",CELL("filename"))-SEARCH("[",CELL("filename"))-1)</f>
        <v>PR24-FD-PD03-Developer-measure-of-experience-D-MeX.xlsx</v>
      </c>
    </row>
    <row r="104" spans="1:6" ht="15" x14ac:dyDescent="0.25">
      <c r="A104" t="s">
        <v>145</v>
      </c>
      <c r="B104" s="192" t="s">
        <v>266</v>
      </c>
      <c r="C104" s="192" t="s">
        <v>267</v>
      </c>
      <c r="D104" s="192" t="s">
        <v>191</v>
      </c>
      <c r="E104" s="193" t="s">
        <v>259</v>
      </c>
      <c r="F104" s="193" t="s">
        <v>268</v>
      </c>
    </row>
    <row r="105" spans="1:6" ht="15" x14ac:dyDescent="0.25">
      <c r="A105" t="s">
        <v>145</v>
      </c>
      <c r="B105" s="192" t="s">
        <v>269</v>
      </c>
      <c r="C105" s="192" t="s">
        <v>270</v>
      </c>
      <c r="D105" s="192" t="s">
        <v>271</v>
      </c>
      <c r="E105" s="193" t="s">
        <v>259</v>
      </c>
      <c r="F105" s="193">
        <f>IF(SUM(InpOverride!$F$7:$M$330)&gt;0,1,0)</f>
        <v>1</v>
      </c>
    </row>
  </sheetData>
  <sheetProtection sort="0"/>
  <phoneticPr fontId="46" type="noConversion"/>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E31C-3161-4D93-92F2-7CCE8C38482B}">
  <sheetPr>
    <pageSetUpPr fitToPage="1"/>
  </sheetPr>
  <dimension ref="A1:X156"/>
  <sheetViews>
    <sheetView zoomScale="80" zoomScaleNormal="80" workbookViewId="0"/>
  </sheetViews>
  <sheetFormatPr defaultColWidth="9.140625" defaultRowHeight="12.75" customHeight="1" zeroHeight="1" x14ac:dyDescent="0.2"/>
  <cols>
    <col min="1" max="2" width="2.7109375" style="70" customWidth="1"/>
    <col min="3" max="3" width="25.28515625" style="70" customWidth="1"/>
    <col min="4" max="6" width="2.7109375" style="70" customWidth="1"/>
    <col min="7" max="7" width="21.85546875" style="70" customWidth="1"/>
    <col min="8" max="8" width="2.7109375" style="70" customWidth="1"/>
    <col min="9" max="9" width="6.7109375" style="70" customWidth="1"/>
    <col min="10" max="10" width="2.7109375" style="70" customWidth="1"/>
    <col min="11" max="11" width="33.42578125" style="70" customWidth="1"/>
    <col min="12" max="12" width="2.7109375" style="70" customWidth="1"/>
    <col min="13" max="13" width="6.7109375" style="70" customWidth="1"/>
    <col min="14" max="14" width="2.7109375" style="70" customWidth="1"/>
    <col min="15" max="15" width="31.140625" style="70" customWidth="1"/>
    <col min="16" max="16" width="3" style="70" customWidth="1"/>
    <col min="17" max="18" width="2.7109375" style="70" customWidth="1"/>
    <col min="19" max="19" width="21.28515625" style="70" customWidth="1"/>
    <col min="20" max="22" width="2.7109375" style="70" customWidth="1"/>
    <col min="23" max="23" width="21.28515625" style="70" customWidth="1"/>
    <col min="24" max="25" width="2.7109375" style="70" customWidth="1"/>
    <col min="26" max="16384" width="9.140625" style="70"/>
  </cols>
  <sheetData>
    <row r="1" spans="1:24" s="3" customFormat="1" ht="30" x14ac:dyDescent="0.4">
      <c r="A1" s="3" t="str">
        <f ca="1" xml:space="preserve"> RIGHT(CELL("filename", $A$1), LEN(CELL("filename", $A$1)) - SEARCH("]", CELL("filename", $A$1)))</f>
        <v>ToC</v>
      </c>
    </row>
    <row r="2" spans="1:24" s="87" customFormat="1" x14ac:dyDescent="0.2"/>
    <row r="3" spans="1:24" s="95" customFormat="1" x14ac:dyDescent="0.2">
      <c r="C3" s="95" t="s">
        <v>43</v>
      </c>
      <c r="G3" s="95" t="s">
        <v>44</v>
      </c>
      <c r="K3" s="95" t="s">
        <v>45</v>
      </c>
      <c r="O3" s="95" t="s">
        <v>46</v>
      </c>
      <c r="S3" s="95" t="s">
        <v>47</v>
      </c>
    </row>
    <row r="4" spans="1:24" s="87" customFormat="1" x14ac:dyDescent="0.2"/>
    <row r="5" spans="1:24" s="87" customFormat="1" x14ac:dyDescent="0.2">
      <c r="S5" s="96" t="s">
        <v>48</v>
      </c>
      <c r="W5" s="96" t="s">
        <v>49</v>
      </c>
    </row>
    <row r="6" spans="1:24" s="87" customFormat="1" x14ac:dyDescent="0.2">
      <c r="S6" s="96"/>
      <c r="W6" s="96"/>
    </row>
    <row r="7" spans="1:24" s="87" customFormat="1" x14ac:dyDescent="0.2">
      <c r="B7" s="97"/>
      <c r="C7" s="98"/>
      <c r="D7" s="99"/>
      <c r="F7" s="97"/>
      <c r="G7" s="98"/>
      <c r="H7" s="99"/>
      <c r="J7" s="97"/>
      <c r="K7" s="98"/>
      <c r="L7" s="99"/>
      <c r="N7" s="97"/>
      <c r="O7" s="98"/>
      <c r="P7" s="99"/>
      <c r="R7" s="97"/>
      <c r="S7" s="98"/>
      <c r="T7" s="99"/>
      <c r="V7" s="97"/>
      <c r="W7" s="98"/>
      <c r="X7" s="99"/>
    </row>
    <row r="8" spans="1:24" s="87" customFormat="1" x14ac:dyDescent="0.2">
      <c r="B8" s="88"/>
      <c r="C8" s="100" t="s">
        <v>50</v>
      </c>
      <c r="D8" s="90"/>
      <c r="F8" s="88"/>
      <c r="G8" s="71" t="s">
        <v>51</v>
      </c>
      <c r="H8" s="90"/>
      <c r="J8" s="88"/>
      <c r="K8" s="101" t="s">
        <v>37</v>
      </c>
      <c r="L8" s="90"/>
      <c r="N8" s="88"/>
      <c r="O8" s="72" t="s">
        <v>52</v>
      </c>
      <c r="P8" s="90"/>
      <c r="R8" s="88"/>
      <c r="S8" s="101" t="s">
        <v>53</v>
      </c>
      <c r="T8" s="90"/>
      <c r="V8" s="88"/>
      <c r="W8" s="102" t="s">
        <v>54</v>
      </c>
      <c r="X8" s="90"/>
    </row>
    <row r="9" spans="1:24" s="87" customFormat="1" ht="63.75" x14ac:dyDescent="0.2">
      <c r="B9" s="88"/>
      <c r="C9" s="103" t="s">
        <v>55</v>
      </c>
      <c r="D9" s="90"/>
      <c r="F9" s="88"/>
      <c r="G9" s="39" t="s">
        <v>56</v>
      </c>
      <c r="H9" s="90"/>
      <c r="J9" s="88"/>
      <c r="K9" s="39" t="s">
        <v>57</v>
      </c>
      <c r="L9" s="90"/>
      <c r="N9" s="88"/>
      <c r="O9" s="39" t="s">
        <v>58</v>
      </c>
      <c r="P9" s="90"/>
      <c r="R9" s="88"/>
      <c r="S9" s="39"/>
      <c r="T9" s="90"/>
      <c r="V9" s="88"/>
      <c r="W9" s="39"/>
      <c r="X9" s="90"/>
    </row>
    <row r="10" spans="1:24" s="87" customFormat="1" x14ac:dyDescent="0.2">
      <c r="B10" s="88"/>
      <c r="C10" s="89"/>
      <c r="D10" s="90"/>
      <c r="F10" s="88"/>
      <c r="H10" s="90"/>
      <c r="J10" s="88"/>
      <c r="L10" s="90"/>
      <c r="N10" s="91"/>
      <c r="O10" s="94"/>
      <c r="P10" s="93"/>
      <c r="R10" s="91"/>
      <c r="S10" s="94"/>
      <c r="T10" s="93"/>
      <c r="V10" s="91"/>
      <c r="W10" s="94"/>
      <c r="X10" s="93"/>
    </row>
    <row r="11" spans="1:24" s="87" customFormat="1" x14ac:dyDescent="0.2">
      <c r="B11" s="88"/>
      <c r="C11" s="4"/>
      <c r="D11" s="90"/>
      <c r="F11" s="88"/>
      <c r="G11" s="4"/>
      <c r="H11" s="90"/>
      <c r="J11" s="88"/>
      <c r="K11" s="101" t="s">
        <v>59</v>
      </c>
      <c r="L11" s="90"/>
      <c r="S11" s="4"/>
      <c r="W11" s="4"/>
    </row>
    <row r="12" spans="1:24" s="87" customFormat="1" ht="51" x14ac:dyDescent="0.2">
      <c r="B12" s="88"/>
      <c r="D12" s="90"/>
      <c r="F12" s="88"/>
      <c r="H12" s="90"/>
      <c r="J12" s="88"/>
      <c r="K12" s="39" t="s">
        <v>60</v>
      </c>
      <c r="L12" s="90"/>
    </row>
    <row r="13" spans="1:24" s="87" customFormat="1" x14ac:dyDescent="0.2">
      <c r="B13" s="91"/>
      <c r="C13" s="94"/>
      <c r="D13" s="93"/>
      <c r="F13" s="91"/>
      <c r="G13" s="94"/>
      <c r="H13" s="93"/>
      <c r="J13" s="91"/>
      <c r="K13" s="92"/>
      <c r="L13" s="93"/>
    </row>
    <row r="14" spans="1:24" s="87" customFormat="1" x14ac:dyDescent="0.2"/>
    <row r="15" spans="1:24" s="87" customFormat="1" x14ac:dyDescent="0.2"/>
    <row r="16" spans="1:24" s="87" customFormat="1" x14ac:dyDescent="0.2"/>
    <row r="17" spans="1:1" s="87" customFormat="1" x14ac:dyDescent="0.2"/>
    <row r="18" spans="1:1" s="87" customFormat="1" x14ac:dyDescent="0.2"/>
    <row r="19" spans="1:1" s="87" customFormat="1" x14ac:dyDescent="0.2"/>
    <row r="20" spans="1:1" s="87" customFormat="1" x14ac:dyDescent="0.2"/>
    <row r="21" spans="1:1" s="87" customFormat="1" x14ac:dyDescent="0.2"/>
    <row r="22" spans="1:1" s="87" customFormat="1" x14ac:dyDescent="0.2"/>
    <row r="23" spans="1:1" s="87" customFormat="1" x14ac:dyDescent="0.2"/>
    <row r="24" spans="1:1" s="2" customFormat="1" ht="13.5" x14ac:dyDescent="0.25">
      <c r="A24" s="2" t="s">
        <v>42</v>
      </c>
    </row>
    <row r="25" spans="1:1" s="87" customFormat="1" x14ac:dyDescent="0.2"/>
    <row r="26" spans="1:1" s="87" customFormat="1" hidden="1" x14ac:dyDescent="0.2"/>
    <row r="27" spans="1:1" s="87" customFormat="1" hidden="1" x14ac:dyDescent="0.2"/>
    <row r="28" spans="1:1" s="87" customFormat="1" hidden="1" x14ac:dyDescent="0.2"/>
    <row r="29" spans="1:1" s="87" customFormat="1" hidden="1" x14ac:dyDescent="0.2"/>
    <row r="30" spans="1:1" s="87" customFormat="1" hidden="1" x14ac:dyDescent="0.2"/>
    <row r="31" spans="1:1" s="87" customFormat="1" hidden="1" x14ac:dyDescent="0.2"/>
    <row r="32" spans="1:1" s="87" customFormat="1" hidden="1" x14ac:dyDescent="0.2"/>
    <row r="33" s="87" customFormat="1" hidden="1" x14ac:dyDescent="0.2"/>
    <row r="34" s="87" customFormat="1" hidden="1" x14ac:dyDescent="0.2"/>
    <row r="35" s="87" customFormat="1" hidden="1" x14ac:dyDescent="0.2"/>
    <row r="36" s="87" customFormat="1" hidden="1" x14ac:dyDescent="0.2"/>
    <row r="37" s="87" customFormat="1" hidden="1" x14ac:dyDescent="0.2"/>
    <row r="38" s="87" customFormat="1" hidden="1" x14ac:dyDescent="0.2"/>
    <row r="39" s="87" customFormat="1" hidden="1" x14ac:dyDescent="0.2"/>
    <row r="40" s="87" customFormat="1" hidden="1" x14ac:dyDescent="0.2"/>
    <row r="41" s="87" customFormat="1" hidden="1" x14ac:dyDescent="0.2"/>
    <row r="42" s="87" customFormat="1" hidden="1" x14ac:dyDescent="0.2"/>
    <row r="43" s="87" customFormat="1" hidden="1" x14ac:dyDescent="0.2"/>
    <row r="44" s="87" customFormat="1" hidden="1" x14ac:dyDescent="0.2"/>
    <row r="45" s="87" customFormat="1" hidden="1" x14ac:dyDescent="0.2"/>
    <row r="46" s="87" customFormat="1" hidden="1" x14ac:dyDescent="0.2"/>
    <row r="47" s="87" customFormat="1" hidden="1" x14ac:dyDescent="0.2"/>
    <row r="48" s="87" customFormat="1" hidden="1" x14ac:dyDescent="0.2"/>
    <row r="49" s="87" customFormat="1" hidden="1" x14ac:dyDescent="0.2"/>
    <row r="50" s="87" customFormat="1" hidden="1" x14ac:dyDescent="0.2"/>
    <row r="51" s="87" customFormat="1" hidden="1" x14ac:dyDescent="0.2"/>
    <row r="52" s="87" customFormat="1" hidden="1" x14ac:dyDescent="0.2"/>
    <row r="53" s="87" customFormat="1" hidden="1" x14ac:dyDescent="0.2"/>
    <row r="54" s="87" customFormat="1" hidden="1" x14ac:dyDescent="0.2"/>
    <row r="55" s="87" customFormat="1" hidden="1" x14ac:dyDescent="0.2"/>
    <row r="56" s="87" customFormat="1" hidden="1" x14ac:dyDescent="0.2"/>
    <row r="57" s="87" customFormat="1" hidden="1" x14ac:dyDescent="0.2"/>
    <row r="58" s="87" customFormat="1" hidden="1" x14ac:dyDescent="0.2"/>
    <row r="59" s="87" customFormat="1" hidden="1" x14ac:dyDescent="0.2"/>
    <row r="60" s="87" customFormat="1" hidden="1" x14ac:dyDescent="0.2"/>
    <row r="61" s="87" customFormat="1" hidden="1" x14ac:dyDescent="0.2"/>
    <row r="62" s="87" customFormat="1" hidden="1" x14ac:dyDescent="0.2"/>
    <row r="63" s="87" customFormat="1" hidden="1" x14ac:dyDescent="0.2"/>
    <row r="64" s="87" customFormat="1" hidden="1" x14ac:dyDescent="0.2"/>
    <row r="65" s="87" customFormat="1" hidden="1" x14ac:dyDescent="0.2"/>
    <row r="66" s="87" customFormat="1" hidden="1" x14ac:dyDescent="0.2"/>
    <row r="67" s="87" customFormat="1" hidden="1" x14ac:dyDescent="0.2"/>
    <row r="68" s="87" customFormat="1" hidden="1" x14ac:dyDescent="0.2"/>
    <row r="69" s="87" customFormat="1" hidden="1" x14ac:dyDescent="0.2"/>
    <row r="70" s="87" customFormat="1" hidden="1" x14ac:dyDescent="0.2"/>
    <row r="71" s="87" customFormat="1" hidden="1" x14ac:dyDescent="0.2"/>
    <row r="72" s="87" customFormat="1" hidden="1" x14ac:dyDescent="0.2"/>
    <row r="73" s="87" customFormat="1" hidden="1" x14ac:dyDescent="0.2"/>
    <row r="74" s="87" customFormat="1" x14ac:dyDescent="0.2"/>
    <row r="75" s="87" customFormat="1" x14ac:dyDescent="0.2"/>
    <row r="76" s="87" customFormat="1" x14ac:dyDescent="0.2"/>
    <row r="77" s="87" customFormat="1" x14ac:dyDescent="0.2"/>
    <row r="78" s="87" customFormat="1" x14ac:dyDescent="0.2"/>
    <row r="79" s="87" customFormat="1" x14ac:dyDescent="0.2"/>
    <row r="80" s="87" customFormat="1" x14ac:dyDescent="0.2"/>
    <row r="81" s="87" customFormat="1" x14ac:dyDescent="0.2"/>
    <row r="82" s="87" customFormat="1" x14ac:dyDescent="0.2"/>
    <row r="83" s="87" customFormat="1" x14ac:dyDescent="0.2"/>
    <row r="84" s="87" customFormat="1" x14ac:dyDescent="0.2"/>
    <row r="85" s="87" customFormat="1" x14ac:dyDescent="0.2"/>
    <row r="86" s="87" customFormat="1" x14ac:dyDescent="0.2"/>
    <row r="87" s="87" customFormat="1" x14ac:dyDescent="0.2"/>
    <row r="88" s="87" customFormat="1" x14ac:dyDescent="0.2"/>
    <row r="89" s="87" customFormat="1" x14ac:dyDescent="0.2"/>
    <row r="90" s="87" customFormat="1" x14ac:dyDescent="0.2"/>
    <row r="91" s="87" customFormat="1" x14ac:dyDescent="0.2"/>
    <row r="92" s="87" customFormat="1" x14ac:dyDescent="0.2"/>
    <row r="93" s="87" customFormat="1" x14ac:dyDescent="0.2"/>
    <row r="94" s="87" customFormat="1" x14ac:dyDescent="0.2"/>
    <row r="95" s="87" customFormat="1" x14ac:dyDescent="0.2"/>
    <row r="96" s="87" customFormat="1" x14ac:dyDescent="0.2"/>
    <row r="97" s="87" customFormat="1" x14ac:dyDescent="0.2"/>
    <row r="98" s="87" customFormat="1" x14ac:dyDescent="0.2"/>
    <row r="99" s="87" customFormat="1" x14ac:dyDescent="0.2"/>
    <row r="100" s="87" customFormat="1" x14ac:dyDescent="0.2"/>
    <row r="101" s="87" customFormat="1" x14ac:dyDescent="0.2"/>
    <row r="102" s="87" customFormat="1" x14ac:dyDescent="0.2"/>
    <row r="103" s="87" customFormat="1" x14ac:dyDescent="0.2"/>
    <row r="104" s="87" customFormat="1" x14ac:dyDescent="0.2"/>
    <row r="105" s="87" customFormat="1" x14ac:dyDescent="0.2"/>
    <row r="106" s="87" customFormat="1" x14ac:dyDescent="0.2"/>
    <row r="107" s="87" customFormat="1" x14ac:dyDescent="0.2"/>
    <row r="108" s="87" customFormat="1" x14ac:dyDescent="0.2"/>
    <row r="109" s="87" customFormat="1" x14ac:dyDescent="0.2"/>
    <row r="110" s="87" customFormat="1" x14ac:dyDescent="0.2"/>
    <row r="111" s="87" customFormat="1" x14ac:dyDescent="0.2"/>
    <row r="112" s="87" customFormat="1" x14ac:dyDescent="0.2"/>
    <row r="113" s="87" customFormat="1" x14ac:dyDescent="0.2"/>
    <row r="114" s="87" customFormat="1" x14ac:dyDescent="0.2"/>
    <row r="115" s="87" customFormat="1" x14ac:dyDescent="0.2"/>
    <row r="116" s="87" customFormat="1" x14ac:dyDescent="0.2"/>
    <row r="117" s="87" customFormat="1" x14ac:dyDescent="0.2"/>
    <row r="118" s="87" customFormat="1" x14ac:dyDescent="0.2"/>
    <row r="119" s="87" customFormat="1" x14ac:dyDescent="0.2"/>
    <row r="120" s="87" customFormat="1" x14ac:dyDescent="0.2"/>
    <row r="121" s="87" customFormat="1" x14ac:dyDescent="0.2"/>
    <row r="122" s="87" customFormat="1" x14ac:dyDescent="0.2"/>
    <row r="123" s="87" customFormat="1" x14ac:dyDescent="0.2"/>
    <row r="124" s="87" customFormat="1" x14ac:dyDescent="0.2"/>
    <row r="125" s="87" customFormat="1" x14ac:dyDescent="0.2"/>
    <row r="126" s="87" customFormat="1" x14ac:dyDescent="0.2"/>
    <row r="127" s="87" customFormat="1" x14ac:dyDescent="0.2"/>
    <row r="128" s="87" customFormat="1" x14ac:dyDescent="0.2"/>
    <row r="129" s="87" customFormat="1" x14ac:dyDescent="0.2"/>
    <row r="130" s="87" customFormat="1" x14ac:dyDescent="0.2"/>
    <row r="131" s="87" customFormat="1" x14ac:dyDescent="0.2"/>
    <row r="132" s="87" customFormat="1" x14ac:dyDescent="0.2"/>
    <row r="133" s="87" customFormat="1" x14ac:dyDescent="0.2"/>
    <row r="134" s="87" customFormat="1" x14ac:dyDescent="0.2"/>
    <row r="135" s="87" customFormat="1" x14ac:dyDescent="0.2"/>
    <row r="136" s="87" customFormat="1" x14ac:dyDescent="0.2"/>
    <row r="137" s="87" customFormat="1" x14ac:dyDescent="0.2"/>
    <row r="138" s="87" customFormat="1" x14ac:dyDescent="0.2"/>
    <row r="139" s="87" customFormat="1" x14ac:dyDescent="0.2"/>
    <row r="140" s="87" customFormat="1" x14ac:dyDescent="0.2"/>
    <row r="141" s="87" customFormat="1" x14ac:dyDescent="0.2"/>
    <row r="142" s="87" customFormat="1" x14ac:dyDescent="0.2"/>
    <row r="143" s="87" customFormat="1" x14ac:dyDescent="0.2"/>
    <row r="144" s="87" customFormat="1" x14ac:dyDescent="0.2"/>
    <row r="145" s="87" customFormat="1" x14ac:dyDescent="0.2"/>
    <row r="146" s="87" customFormat="1" x14ac:dyDescent="0.2"/>
    <row r="147" s="87" customFormat="1" x14ac:dyDescent="0.2"/>
    <row r="148" s="87" customFormat="1" x14ac:dyDescent="0.2"/>
    <row r="149" s="87" customFormat="1" x14ac:dyDescent="0.2"/>
    <row r="150" s="87" customFormat="1" x14ac:dyDescent="0.2"/>
    <row r="151" s="87" customFormat="1" x14ac:dyDescent="0.2"/>
    <row r="152" s="87" customFormat="1" x14ac:dyDescent="0.2"/>
    <row r="153" s="87" customFormat="1" x14ac:dyDescent="0.2"/>
    <row r="154" s="87" customFormat="1" x14ac:dyDescent="0.2"/>
    <row r="155" s="87" customFormat="1" x14ac:dyDescent="0.2"/>
    <row r="156" s="87" customFormat="1" x14ac:dyDescent="0.2"/>
  </sheetData>
  <pageMargins left="0.70866141732283472" right="0.70866141732283472" top="0.74803149606299213" bottom="0.74803149606299213" header="0.31496062992125984" footer="0.31496062992125984"/>
  <pageSetup paperSize="8" scale="93" fitToHeight="0" orientation="landscape" r:id="rId1"/>
  <headerFooter>
    <oddHeader>&amp;L&amp;F&amp;CSheet: &amp;A&amp;ROFFICIAL</oddHeader>
    <oddFooter>&amp;LPrinted on &amp;D at &amp;T&amp;CPage &amp;P of &amp;N&amp;ROfwat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02570-F1AB-420C-9518-0F21A3E93B18}">
  <sheetPr>
    <tabColor theme="5" tint="0.79998168889431442"/>
    <pageSetUpPr fitToPage="1"/>
  </sheetPr>
  <dimension ref="A1:I132"/>
  <sheetViews>
    <sheetView zoomScale="80" zoomScaleNormal="80" workbookViewId="0"/>
  </sheetViews>
  <sheetFormatPr defaultColWidth="10.28515625" defaultRowHeight="12.75" x14ac:dyDescent="0.2"/>
  <cols>
    <col min="1" max="4" width="2.85546875" style="4" customWidth="1"/>
    <col min="5" max="5" width="37.5703125" style="4" bestFit="1" customWidth="1"/>
    <col min="6" max="6" width="9.140625" style="4" customWidth="1"/>
    <col min="7" max="7" width="45.5703125" style="4" bestFit="1" customWidth="1"/>
    <col min="8" max="9" width="10.28515625" style="4" customWidth="1"/>
    <col min="10" max="16384" width="10.28515625" style="4"/>
  </cols>
  <sheetData>
    <row r="1" spans="1:9" s="3" customFormat="1" ht="30" x14ac:dyDescent="0.4">
      <c r="A1" s="3" t="str">
        <f ca="1" xml:space="preserve"> RIGHT(CELL("filename", $A$1), LEN(CELL("filename", $A$1)) - SEARCH("]", CELL("filename", $A$1)))</f>
        <v>Model formatting</v>
      </c>
    </row>
    <row r="2" spans="1:9" x14ac:dyDescent="0.2">
      <c r="A2" s="76"/>
      <c r="B2" s="77"/>
      <c r="C2" s="78"/>
      <c r="D2" s="78"/>
    </row>
    <row r="3" spans="1:9" s="1" customFormat="1" ht="13.5" x14ac:dyDescent="0.25">
      <c r="A3" s="1" t="s">
        <v>61</v>
      </c>
    </row>
    <row r="4" spans="1:9" x14ac:dyDescent="0.2">
      <c r="A4" s="79"/>
      <c r="B4" s="79"/>
      <c r="C4" s="80"/>
      <c r="D4" s="81"/>
      <c r="E4" s="82"/>
      <c r="F4" s="82"/>
      <c r="G4" s="82"/>
      <c r="H4" s="82"/>
      <c r="I4" s="82"/>
    </row>
    <row r="5" spans="1:9" x14ac:dyDescent="0.2">
      <c r="A5" s="79"/>
      <c r="B5" s="79"/>
      <c r="C5" s="80"/>
      <c r="D5" s="81"/>
      <c r="E5" s="41" t="s">
        <v>62</v>
      </c>
      <c r="F5" s="82"/>
      <c r="G5" s="82" t="s">
        <v>63</v>
      </c>
      <c r="H5" s="82"/>
      <c r="I5" s="82"/>
    </row>
    <row r="6" spans="1:9" x14ac:dyDescent="0.2">
      <c r="A6" s="79"/>
      <c r="B6" s="79"/>
      <c r="C6" s="80"/>
      <c r="D6" s="81"/>
      <c r="E6" s="83"/>
      <c r="F6" s="82"/>
      <c r="G6" s="82"/>
      <c r="H6" s="82"/>
      <c r="I6" s="82"/>
    </row>
    <row r="7" spans="1:9" x14ac:dyDescent="0.2">
      <c r="A7" s="79"/>
      <c r="B7" s="79"/>
      <c r="C7" s="80"/>
      <c r="D7" s="81"/>
      <c r="E7" s="42" t="s">
        <v>64</v>
      </c>
      <c r="F7" s="82"/>
      <c r="G7" s="82" t="s">
        <v>65</v>
      </c>
      <c r="H7" s="82"/>
      <c r="I7" s="82"/>
    </row>
    <row r="8" spans="1:9" x14ac:dyDescent="0.2">
      <c r="A8" s="79"/>
      <c r="B8" s="79"/>
      <c r="C8" s="80"/>
      <c r="D8" s="81"/>
      <c r="E8" s="83"/>
      <c r="F8" s="82"/>
      <c r="G8" s="82"/>
      <c r="H8" s="82"/>
      <c r="I8" s="82"/>
    </row>
    <row r="9" spans="1:9" x14ac:dyDescent="0.2">
      <c r="A9" s="79"/>
      <c r="B9" s="79"/>
      <c r="C9" s="80"/>
      <c r="D9" s="81"/>
      <c r="E9" s="43" t="s">
        <v>66</v>
      </c>
      <c r="F9" s="82"/>
      <c r="G9" s="82" t="s">
        <v>67</v>
      </c>
      <c r="H9" s="82"/>
      <c r="I9" s="82"/>
    </row>
    <row r="10" spans="1:9" x14ac:dyDescent="0.2">
      <c r="A10" s="79"/>
      <c r="B10" s="79"/>
      <c r="C10" s="80"/>
      <c r="D10" s="81"/>
      <c r="E10" s="83"/>
      <c r="F10" s="82"/>
      <c r="G10" s="82"/>
      <c r="H10" s="82"/>
      <c r="I10" s="82"/>
    </row>
    <row r="11" spans="1:9" x14ac:dyDescent="0.2">
      <c r="A11" s="79"/>
      <c r="B11" s="79"/>
      <c r="C11" s="80"/>
      <c r="D11" s="81"/>
      <c r="E11" s="44" t="s">
        <v>68</v>
      </c>
      <c r="F11" s="82"/>
      <c r="G11" s="82" t="s">
        <v>69</v>
      </c>
      <c r="H11" s="82"/>
      <c r="I11" s="82"/>
    </row>
    <row r="12" spans="1:9" x14ac:dyDescent="0.2">
      <c r="A12" s="79"/>
      <c r="B12" s="79"/>
      <c r="C12" s="80"/>
      <c r="D12" s="81"/>
      <c r="E12" s="83"/>
      <c r="F12" s="82"/>
      <c r="G12" s="82"/>
      <c r="H12" s="82"/>
      <c r="I12" s="82"/>
    </row>
    <row r="13" spans="1:9" x14ac:dyDescent="0.2">
      <c r="A13" s="79"/>
      <c r="B13" s="79"/>
      <c r="C13" s="80"/>
      <c r="D13" s="81"/>
      <c r="E13" s="45" t="s">
        <v>70</v>
      </c>
      <c r="F13" s="82"/>
      <c r="G13" s="82" t="s">
        <v>71</v>
      </c>
      <c r="H13" s="82"/>
      <c r="I13" s="82"/>
    </row>
    <row r="14" spans="1:9" x14ac:dyDescent="0.2">
      <c r="A14" s="79"/>
      <c r="B14" s="79"/>
      <c r="C14" s="80"/>
      <c r="D14" s="81"/>
      <c r="E14" s="82"/>
      <c r="F14" s="82"/>
      <c r="G14" s="82"/>
      <c r="H14" s="82"/>
      <c r="I14" s="82"/>
    </row>
    <row r="15" spans="1:9" x14ac:dyDescent="0.2">
      <c r="A15" s="79"/>
      <c r="B15" s="79"/>
      <c r="C15" s="80"/>
      <c r="D15" s="81"/>
      <c r="E15" s="46" t="s">
        <v>72</v>
      </c>
      <c r="F15" s="82"/>
      <c r="G15" s="82" t="s">
        <v>73</v>
      </c>
      <c r="H15" s="82"/>
      <c r="I15" s="82"/>
    </row>
    <row r="16" spans="1:9" x14ac:dyDescent="0.2">
      <c r="A16" s="79"/>
      <c r="B16" s="79"/>
      <c r="C16" s="80"/>
      <c r="D16" s="81"/>
      <c r="E16" s="82"/>
      <c r="F16" s="82"/>
      <c r="G16" s="82"/>
      <c r="H16" s="82"/>
      <c r="I16" s="82"/>
    </row>
    <row r="17" spans="1:9" s="1" customFormat="1" ht="13.5" x14ac:dyDescent="0.25">
      <c r="A17" s="1" t="s">
        <v>74</v>
      </c>
    </row>
    <row r="18" spans="1:9" x14ac:dyDescent="0.2">
      <c r="A18" s="79"/>
      <c r="B18" s="79"/>
      <c r="C18" s="80"/>
      <c r="D18" s="81"/>
      <c r="E18" s="82"/>
      <c r="F18" s="82"/>
      <c r="G18" s="82"/>
      <c r="H18" s="82"/>
      <c r="I18" s="82"/>
    </row>
    <row r="19" spans="1:9" x14ac:dyDescent="0.2">
      <c r="A19" s="79"/>
      <c r="B19" s="79" t="s">
        <v>75</v>
      </c>
      <c r="C19" s="80"/>
      <c r="D19" s="81"/>
      <c r="E19" s="82"/>
      <c r="F19" s="82"/>
      <c r="G19" s="82"/>
      <c r="H19" s="82"/>
      <c r="I19" s="82"/>
    </row>
    <row r="20" spans="1:9" x14ac:dyDescent="0.2">
      <c r="A20" s="79"/>
      <c r="B20" s="79"/>
      <c r="C20" s="80"/>
      <c r="D20" s="81"/>
      <c r="E20" s="84" t="s">
        <v>76</v>
      </c>
      <c r="F20" s="82"/>
      <c r="G20" s="82" t="s">
        <v>77</v>
      </c>
      <c r="H20" s="82"/>
      <c r="I20" s="82"/>
    </row>
    <row r="21" spans="1:9" x14ac:dyDescent="0.2">
      <c r="A21" s="79"/>
      <c r="B21" s="79"/>
      <c r="C21" s="80"/>
      <c r="D21" s="81"/>
      <c r="E21" s="82"/>
      <c r="F21" s="82"/>
      <c r="G21" s="82"/>
      <c r="H21" s="82"/>
      <c r="I21" s="82"/>
    </row>
    <row r="22" spans="1:9" x14ac:dyDescent="0.2">
      <c r="A22" s="79"/>
      <c r="B22" s="79"/>
      <c r="C22" s="80"/>
      <c r="D22" s="81"/>
      <c r="E22" s="85" t="s">
        <v>78</v>
      </c>
      <c r="F22" s="82"/>
      <c r="G22" s="82" t="s">
        <v>79</v>
      </c>
      <c r="H22" s="82"/>
      <c r="I22" s="82"/>
    </row>
    <row r="23" spans="1:9" x14ac:dyDescent="0.2">
      <c r="A23" s="79"/>
      <c r="B23" s="79"/>
      <c r="C23" s="80"/>
      <c r="D23" s="81"/>
      <c r="E23" s="82"/>
      <c r="F23" s="82"/>
      <c r="G23" s="82"/>
      <c r="H23" s="82"/>
      <c r="I23" s="82"/>
    </row>
    <row r="24" spans="1:9" x14ac:dyDescent="0.2">
      <c r="A24" s="79"/>
      <c r="B24" s="79"/>
      <c r="C24" s="80"/>
      <c r="D24" s="81"/>
      <c r="E24" s="82" t="s">
        <v>80</v>
      </c>
      <c r="F24" s="82"/>
      <c r="G24" s="82" t="s">
        <v>81</v>
      </c>
      <c r="H24" s="82"/>
      <c r="I24" s="82"/>
    </row>
    <row r="25" spans="1:9" x14ac:dyDescent="0.2">
      <c r="A25" s="79"/>
      <c r="B25" s="79"/>
      <c r="C25" s="80"/>
      <c r="D25" s="81"/>
      <c r="E25" s="82"/>
      <c r="F25" s="82"/>
      <c r="G25" s="82"/>
      <c r="H25" s="82"/>
      <c r="I25" s="82"/>
    </row>
    <row r="26" spans="1:9" x14ac:dyDescent="0.2">
      <c r="A26" s="79"/>
      <c r="B26" s="79" t="s">
        <v>82</v>
      </c>
      <c r="C26" s="80"/>
      <c r="D26" s="81"/>
      <c r="E26" s="82"/>
      <c r="F26" s="82"/>
      <c r="G26" s="82"/>
      <c r="H26" s="82"/>
      <c r="I26" s="82"/>
    </row>
    <row r="27" spans="1:9" x14ac:dyDescent="0.2">
      <c r="A27" s="79"/>
      <c r="B27" s="79"/>
      <c r="C27" s="80"/>
      <c r="D27" s="81"/>
      <c r="E27" s="47" t="s">
        <v>83</v>
      </c>
      <c r="F27" s="82"/>
      <c r="G27" s="82" t="s">
        <v>51</v>
      </c>
      <c r="H27" s="82"/>
      <c r="I27" s="82"/>
    </row>
    <row r="28" spans="1:9" x14ac:dyDescent="0.2">
      <c r="A28" s="79"/>
      <c r="B28" s="79"/>
      <c r="C28" s="80"/>
      <c r="D28" s="81"/>
      <c r="E28" s="82"/>
      <c r="F28" s="82"/>
      <c r="G28" s="82"/>
      <c r="H28" s="82"/>
      <c r="I28" s="82"/>
    </row>
    <row r="29" spans="1:9" x14ac:dyDescent="0.2">
      <c r="A29" s="79"/>
      <c r="B29" s="79"/>
      <c r="C29" s="80"/>
      <c r="D29" s="81"/>
      <c r="E29" s="86" t="s">
        <v>84</v>
      </c>
      <c r="F29" s="82"/>
      <c r="G29" s="82" t="s">
        <v>85</v>
      </c>
      <c r="H29" s="82"/>
      <c r="I29" s="82"/>
    </row>
    <row r="30" spans="1:9" x14ac:dyDescent="0.2">
      <c r="A30" s="79"/>
      <c r="B30" s="79"/>
      <c r="C30" s="80"/>
      <c r="D30" s="81"/>
      <c r="E30" s="82"/>
      <c r="F30" s="82"/>
      <c r="G30" s="82"/>
      <c r="H30" s="82"/>
      <c r="I30" s="82"/>
    </row>
    <row r="31" spans="1:9" x14ac:dyDescent="0.2">
      <c r="A31" s="79"/>
      <c r="B31" s="79"/>
      <c r="C31" s="80"/>
      <c r="D31" s="81"/>
      <c r="E31" s="48" t="s">
        <v>86</v>
      </c>
      <c r="F31" s="82"/>
      <c r="G31" s="82" t="s">
        <v>87</v>
      </c>
      <c r="H31" s="82"/>
      <c r="I31" s="82"/>
    </row>
    <row r="32" spans="1:9" x14ac:dyDescent="0.2">
      <c r="A32" s="79"/>
      <c r="B32" s="79"/>
      <c r="C32" s="80"/>
      <c r="D32" s="81"/>
      <c r="E32" s="82"/>
      <c r="F32" s="82"/>
      <c r="G32" s="82"/>
      <c r="H32" s="82"/>
      <c r="I32" s="82"/>
    </row>
    <row r="33" spans="1:9" x14ac:dyDescent="0.2">
      <c r="A33" s="79"/>
      <c r="B33" s="79"/>
      <c r="C33" s="80"/>
      <c r="D33" s="81"/>
      <c r="E33" s="49" t="s">
        <v>88</v>
      </c>
      <c r="F33" s="82"/>
      <c r="G33" s="82" t="s">
        <v>89</v>
      </c>
      <c r="H33" s="82"/>
      <c r="I33" s="82"/>
    </row>
    <row r="34" spans="1:9" x14ac:dyDescent="0.2">
      <c r="A34" s="79"/>
      <c r="B34" s="79"/>
      <c r="C34" s="80"/>
      <c r="D34" s="81"/>
      <c r="E34" s="82"/>
      <c r="F34" s="82"/>
      <c r="G34" s="82"/>
      <c r="H34" s="82"/>
      <c r="I34" s="82"/>
    </row>
    <row r="35" spans="1:9" x14ac:dyDescent="0.2">
      <c r="A35" s="79"/>
      <c r="B35" s="79"/>
      <c r="C35" s="80"/>
      <c r="D35" s="81"/>
      <c r="E35" s="48" t="s">
        <v>90</v>
      </c>
      <c r="F35" s="82"/>
      <c r="G35" s="82" t="s">
        <v>91</v>
      </c>
      <c r="H35" s="82"/>
      <c r="I35" s="82"/>
    </row>
    <row r="36" spans="1:9" x14ac:dyDescent="0.2">
      <c r="A36" s="79"/>
      <c r="B36" s="79"/>
      <c r="C36" s="80"/>
      <c r="D36" s="81"/>
      <c r="E36" s="82"/>
      <c r="F36" s="82"/>
      <c r="G36" s="82"/>
      <c r="H36" s="82"/>
      <c r="I36" s="82"/>
    </row>
    <row r="37" spans="1:9" x14ac:dyDescent="0.2">
      <c r="A37" s="79"/>
      <c r="B37" s="79" t="s">
        <v>92</v>
      </c>
      <c r="C37" s="80"/>
      <c r="D37" s="81"/>
      <c r="E37" s="82"/>
      <c r="F37" s="82"/>
      <c r="G37" s="82"/>
      <c r="H37" s="82"/>
      <c r="I37" s="82"/>
    </row>
    <row r="38" spans="1:9" x14ac:dyDescent="0.2">
      <c r="A38" s="79"/>
      <c r="B38" s="79"/>
      <c r="C38" s="80"/>
      <c r="D38" s="81"/>
      <c r="E38" s="50" t="s">
        <v>93</v>
      </c>
      <c r="F38" s="82"/>
      <c r="G38" s="82" t="s">
        <v>94</v>
      </c>
      <c r="H38" s="82"/>
      <c r="I38" s="82"/>
    </row>
    <row r="39" spans="1:9" x14ac:dyDescent="0.2">
      <c r="A39" s="79"/>
      <c r="B39" s="79"/>
      <c r="C39" s="80"/>
      <c r="D39" s="81"/>
      <c r="E39" s="82"/>
      <c r="F39" s="82"/>
      <c r="G39" s="82"/>
      <c r="H39" s="82"/>
      <c r="I39" s="82"/>
    </row>
    <row r="40" spans="1:9" x14ac:dyDescent="0.2">
      <c r="A40" s="79"/>
      <c r="B40" s="79"/>
      <c r="C40" s="80"/>
      <c r="D40" s="81"/>
      <c r="E40" s="51" t="s">
        <v>95</v>
      </c>
      <c r="F40" s="82"/>
      <c r="G40" s="82" t="s">
        <v>96</v>
      </c>
      <c r="H40" s="82"/>
      <c r="I40" s="82"/>
    </row>
    <row r="41" spans="1:9" x14ac:dyDescent="0.2">
      <c r="A41" s="79"/>
      <c r="B41" s="79"/>
      <c r="C41" s="80"/>
      <c r="D41" s="81"/>
      <c r="E41" s="82"/>
      <c r="F41" s="82"/>
      <c r="G41" s="82"/>
      <c r="H41" s="82"/>
      <c r="I41" s="82"/>
    </row>
    <row r="42" spans="1:9" x14ac:dyDescent="0.2">
      <c r="A42" s="79"/>
      <c r="B42" s="79"/>
      <c r="C42" s="80"/>
      <c r="D42" s="81"/>
      <c r="E42" s="52" t="s">
        <v>97</v>
      </c>
      <c r="F42" s="82"/>
      <c r="G42" s="82" t="s">
        <v>98</v>
      </c>
      <c r="H42" s="82"/>
      <c r="I42" s="82"/>
    </row>
    <row r="43" spans="1:9" x14ac:dyDescent="0.2">
      <c r="A43" s="79"/>
      <c r="B43" s="79"/>
      <c r="C43" s="80"/>
      <c r="D43" s="81"/>
      <c r="E43" s="82"/>
      <c r="F43" s="82"/>
      <c r="G43" s="82"/>
      <c r="H43" s="82"/>
      <c r="I43" s="82"/>
    </row>
    <row r="44" spans="1:9" x14ac:dyDescent="0.2">
      <c r="A44" s="79"/>
      <c r="B44" s="79"/>
      <c r="C44" s="80"/>
      <c r="D44" s="81"/>
      <c r="E44" s="53" t="s">
        <v>99</v>
      </c>
      <c r="F44" s="82"/>
      <c r="G44" s="82" t="s">
        <v>100</v>
      </c>
      <c r="H44" s="82"/>
      <c r="I44" s="82"/>
    </row>
    <row r="45" spans="1:9" x14ac:dyDescent="0.2">
      <c r="A45" s="79"/>
      <c r="B45" s="79"/>
      <c r="C45" s="80"/>
      <c r="D45" s="81"/>
      <c r="E45" s="82"/>
      <c r="F45" s="82"/>
      <c r="G45" s="82"/>
      <c r="H45" s="82"/>
      <c r="I45" s="82"/>
    </row>
    <row r="46" spans="1:9" x14ac:dyDescent="0.2">
      <c r="A46" s="79"/>
      <c r="B46" s="79"/>
      <c r="C46" s="80"/>
      <c r="D46" s="81"/>
      <c r="E46" s="54" t="s">
        <v>101</v>
      </c>
      <c r="F46" s="82"/>
      <c r="G46" s="82" t="s">
        <v>102</v>
      </c>
      <c r="H46" s="82"/>
      <c r="I46" s="82"/>
    </row>
    <row r="47" spans="1:9" x14ac:dyDescent="0.2">
      <c r="A47" s="79"/>
      <c r="B47" s="79"/>
      <c r="C47" s="80"/>
      <c r="D47" s="81"/>
      <c r="E47" s="82"/>
      <c r="F47" s="82"/>
      <c r="G47" s="82"/>
      <c r="H47" s="82"/>
      <c r="I47" s="82"/>
    </row>
    <row r="48" spans="1:9" x14ac:dyDescent="0.2">
      <c r="A48" s="79"/>
      <c r="B48" s="79" t="s">
        <v>103</v>
      </c>
      <c r="C48" s="80"/>
      <c r="D48" s="81"/>
      <c r="E48" s="82"/>
      <c r="F48" s="82"/>
      <c r="G48" s="82"/>
      <c r="H48" s="82"/>
      <c r="I48" s="82"/>
    </row>
    <row r="49" spans="1:9" x14ac:dyDescent="0.2">
      <c r="A49" s="79"/>
      <c r="B49" s="79"/>
      <c r="C49" s="80"/>
      <c r="D49" s="81"/>
      <c r="E49" s="55" t="s">
        <v>104</v>
      </c>
      <c r="F49" s="82"/>
      <c r="G49" s="82" t="s">
        <v>105</v>
      </c>
      <c r="H49" s="82"/>
      <c r="I49" s="82"/>
    </row>
    <row r="50" spans="1:9" x14ac:dyDescent="0.2">
      <c r="A50" s="79"/>
      <c r="B50" s="79"/>
      <c r="C50" s="80"/>
      <c r="D50" s="81"/>
      <c r="E50" s="82"/>
      <c r="F50" s="82"/>
      <c r="G50" s="82"/>
      <c r="H50" s="82"/>
      <c r="I50" s="82"/>
    </row>
    <row r="51" spans="1:9" x14ac:dyDescent="0.2">
      <c r="A51" s="79"/>
      <c r="B51" s="79"/>
      <c r="C51" s="80"/>
      <c r="D51" s="81"/>
      <c r="E51" s="56" t="s">
        <v>106</v>
      </c>
      <c r="F51" s="82"/>
      <c r="G51" s="82" t="s">
        <v>107</v>
      </c>
      <c r="H51" s="82"/>
      <c r="I51" s="82"/>
    </row>
    <row r="52" spans="1:9" x14ac:dyDescent="0.2">
      <c r="A52" s="79"/>
      <c r="B52" s="79"/>
      <c r="C52" s="80"/>
      <c r="D52" s="81"/>
      <c r="E52" s="82"/>
      <c r="F52" s="82"/>
      <c r="G52" s="82"/>
      <c r="H52" s="82"/>
      <c r="I52" s="82"/>
    </row>
    <row r="53" spans="1:9" x14ac:dyDescent="0.2">
      <c r="A53" s="79"/>
      <c r="B53" s="79"/>
      <c r="C53" s="80"/>
      <c r="D53" s="81"/>
      <c r="E53" s="57" t="s">
        <v>108</v>
      </c>
      <c r="F53" s="82"/>
      <c r="G53" s="82" t="s">
        <v>109</v>
      </c>
      <c r="H53" s="82"/>
      <c r="I53" s="82"/>
    </row>
    <row r="54" spans="1:9" x14ac:dyDescent="0.2">
      <c r="A54" s="79"/>
      <c r="B54" s="79"/>
      <c r="C54" s="80"/>
      <c r="D54" s="81"/>
      <c r="E54" s="40"/>
      <c r="F54" s="82"/>
      <c r="G54" s="82"/>
      <c r="H54" s="82"/>
      <c r="I54" s="82"/>
    </row>
    <row r="55" spans="1:9" s="2" customFormat="1" ht="13.5" x14ac:dyDescent="0.25">
      <c r="A55" s="2" t="s">
        <v>42</v>
      </c>
    </row>
    <row r="56" spans="1:9" x14ac:dyDescent="0.2">
      <c r="A56" s="76"/>
      <c r="B56" s="77"/>
      <c r="C56" s="78"/>
      <c r="D56" s="78"/>
    </row>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9A433-551A-4D84-B349-A84599799E41}">
  <sheetPr>
    <tabColor rgb="FFCCFFFF"/>
    <pageSetUpPr fitToPage="1"/>
  </sheetPr>
  <dimension ref="A1:C22"/>
  <sheetViews>
    <sheetView zoomScale="80" zoomScaleNormal="80" zoomScaleSheetLayoutView="100" workbookViewId="0">
      <selection activeCell="B11" sqref="B11"/>
    </sheetView>
  </sheetViews>
  <sheetFormatPr defaultColWidth="9.140625" defaultRowHeight="12.75" x14ac:dyDescent="0.2"/>
  <cols>
    <col min="1" max="1" width="9.140625" style="4" customWidth="1"/>
    <col min="2" max="2" width="40.85546875" style="4" customWidth="1"/>
    <col min="3" max="3" width="9.5703125" style="4" bestFit="1" customWidth="1"/>
    <col min="4" max="10" width="9.140625" style="4" customWidth="1"/>
    <col min="11" max="11" width="2.7109375" style="4" customWidth="1"/>
    <col min="12" max="16384" width="9.140625" style="4"/>
  </cols>
  <sheetData>
    <row r="1" spans="1:3" s="3" customFormat="1" ht="30" x14ac:dyDescent="0.4">
      <c r="A1" s="3" t="str">
        <f ca="1" xml:space="preserve"> RIGHT(CELL("filename", $A$1), LEN(CELL("filename", $A$1)) - SEARCH("]", CELL("filename", $A$1)))</f>
        <v>Validation</v>
      </c>
    </row>
    <row r="3" spans="1:3" ht="13.5" x14ac:dyDescent="0.2">
      <c r="B3" s="5" t="s">
        <v>110</v>
      </c>
      <c r="C3" s="5" t="s">
        <v>111</v>
      </c>
    </row>
    <row r="4" spans="1:3" x14ac:dyDescent="0.2">
      <c r="B4" s="6" t="s">
        <v>112</v>
      </c>
      <c r="C4" s="6" t="s">
        <v>113</v>
      </c>
    </row>
    <row r="5" spans="1:3" x14ac:dyDescent="0.2">
      <c r="B5" s="6" t="s">
        <v>114</v>
      </c>
      <c r="C5" s="6" t="s">
        <v>115</v>
      </c>
    </row>
    <row r="6" spans="1:3" x14ac:dyDescent="0.2">
      <c r="B6" s="6" t="s">
        <v>116</v>
      </c>
      <c r="C6" s="6" t="s">
        <v>117</v>
      </c>
    </row>
    <row r="7" spans="1:3" x14ac:dyDescent="0.2">
      <c r="B7" s="6" t="s">
        <v>118</v>
      </c>
      <c r="C7" s="6" t="s">
        <v>119</v>
      </c>
    </row>
    <row r="8" spans="1:3" x14ac:dyDescent="0.2">
      <c r="B8" s="6" t="s">
        <v>120</v>
      </c>
      <c r="C8" s="6" t="s">
        <v>121</v>
      </c>
    </row>
    <row r="9" spans="1:3" x14ac:dyDescent="0.2">
      <c r="B9" s="6" t="s">
        <v>122</v>
      </c>
      <c r="C9" s="6" t="s">
        <v>123</v>
      </c>
    </row>
    <row r="10" spans="1:3" x14ac:dyDescent="0.2">
      <c r="B10" s="6" t="s">
        <v>124</v>
      </c>
      <c r="C10" s="6" t="s">
        <v>125</v>
      </c>
    </row>
    <row r="11" spans="1:3" x14ac:dyDescent="0.2">
      <c r="B11" s="6" t="s">
        <v>126</v>
      </c>
      <c r="C11" s="6" t="s">
        <v>127</v>
      </c>
    </row>
    <row r="12" spans="1:3" x14ac:dyDescent="0.2">
      <c r="B12" s="6" t="s">
        <v>128</v>
      </c>
      <c r="C12" s="6" t="s">
        <v>129</v>
      </c>
    </row>
    <row r="13" spans="1:3" x14ac:dyDescent="0.2">
      <c r="B13" s="6" t="s">
        <v>130</v>
      </c>
      <c r="C13" s="6" t="s">
        <v>131</v>
      </c>
    </row>
    <row r="14" spans="1:3" x14ac:dyDescent="0.2">
      <c r="B14" s="6" t="s">
        <v>132</v>
      </c>
      <c r="C14" s="6" t="s">
        <v>133</v>
      </c>
    </row>
    <row r="15" spans="1:3" x14ac:dyDescent="0.2">
      <c r="B15" s="6" t="s">
        <v>134</v>
      </c>
      <c r="C15" s="6" t="s">
        <v>135</v>
      </c>
    </row>
    <row r="16" spans="1:3" x14ac:dyDescent="0.2">
      <c r="B16" s="6" t="s">
        <v>136</v>
      </c>
      <c r="C16" s="6" t="s">
        <v>137</v>
      </c>
    </row>
    <row r="17" spans="1:3" x14ac:dyDescent="0.2">
      <c r="B17" s="6" t="s">
        <v>138</v>
      </c>
      <c r="C17" s="6" t="s">
        <v>139</v>
      </c>
    </row>
    <row r="18" spans="1:3" x14ac:dyDescent="0.2">
      <c r="B18" s="6" t="s">
        <v>140</v>
      </c>
      <c r="C18" s="6" t="s">
        <v>141</v>
      </c>
    </row>
    <row r="19" spans="1:3" x14ac:dyDescent="0.2">
      <c r="B19" s="6" t="s">
        <v>142</v>
      </c>
      <c r="C19" s="6" t="s">
        <v>143</v>
      </c>
    </row>
    <row r="20" spans="1:3" x14ac:dyDescent="0.2">
      <c r="B20" s="6" t="s">
        <v>144</v>
      </c>
      <c r="C20" s="6" t="s">
        <v>145</v>
      </c>
    </row>
    <row r="22" spans="1:3" s="2" customFormat="1" ht="13.5" x14ac:dyDescent="0.25">
      <c r="A22" s="2" t="s">
        <v>42</v>
      </c>
    </row>
  </sheetData>
  <sortState xmlns:xlrd2="http://schemas.microsoft.com/office/spreadsheetml/2017/richdata2" ref="B4:C20">
    <sortCondition ref="B4"/>
  </sortState>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91"/>
  <sheetViews>
    <sheetView zoomScale="80" zoomScaleNormal="80" workbookViewId="0"/>
  </sheetViews>
  <sheetFormatPr defaultRowHeight="12.75" x14ac:dyDescent="0.2"/>
  <cols>
    <col min="3" max="3" width="24.85546875" customWidth="1"/>
  </cols>
  <sheetData>
    <row r="1" spans="1:6" ht="15" x14ac:dyDescent="0.25">
      <c r="C1" s="190" t="s">
        <v>146</v>
      </c>
      <c r="E1" s="190" t="s">
        <v>147</v>
      </c>
    </row>
    <row r="2" spans="1:6" ht="15" x14ac:dyDescent="0.25">
      <c r="A2" s="196" t="s">
        <v>111</v>
      </c>
      <c r="B2" s="196" t="s">
        <v>148</v>
      </c>
      <c r="C2" s="196" t="s">
        <v>149</v>
      </c>
      <c r="D2" s="196" t="s">
        <v>150</v>
      </c>
      <c r="E2" s="196" t="s">
        <v>151</v>
      </c>
      <c r="F2" s="196" t="s">
        <v>152</v>
      </c>
    </row>
    <row r="4" spans="1:6" ht="15" x14ac:dyDescent="0.25">
      <c r="F4" s="196" t="s">
        <v>153</v>
      </c>
    </row>
    <row r="5" spans="1:6" ht="15" x14ac:dyDescent="0.25">
      <c r="F5" s="196" t="s">
        <v>154</v>
      </c>
    </row>
    <row r="6" spans="1:6" ht="15" x14ac:dyDescent="0.25">
      <c r="F6" s="196" t="s">
        <v>155</v>
      </c>
    </row>
    <row r="7" spans="1:6" x14ac:dyDescent="0.2">
      <c r="A7" t="s">
        <v>113</v>
      </c>
      <c r="B7" t="s">
        <v>156</v>
      </c>
      <c r="C7" t="s">
        <v>157</v>
      </c>
      <c r="D7" t="s">
        <v>158</v>
      </c>
      <c r="E7" t="s">
        <v>159</v>
      </c>
      <c r="F7" s="198">
        <v>74.2</v>
      </c>
    </row>
    <row r="8" spans="1:6" x14ac:dyDescent="0.2">
      <c r="A8" t="s">
        <v>113</v>
      </c>
      <c r="B8" t="s">
        <v>160</v>
      </c>
      <c r="C8" t="s">
        <v>161</v>
      </c>
      <c r="D8" t="s">
        <v>158</v>
      </c>
      <c r="E8" t="s">
        <v>159</v>
      </c>
      <c r="F8" s="198">
        <v>99.87045454545455</v>
      </c>
    </row>
    <row r="9" spans="1:6" x14ac:dyDescent="0.2">
      <c r="A9" t="s">
        <v>113</v>
      </c>
      <c r="B9" t="s">
        <v>162</v>
      </c>
      <c r="C9" t="s">
        <v>163</v>
      </c>
      <c r="D9" t="s">
        <v>158</v>
      </c>
      <c r="E9" t="s">
        <v>159</v>
      </c>
      <c r="F9" s="199">
        <v>87.035227272727269</v>
      </c>
    </row>
    <row r="10" spans="1:6" x14ac:dyDescent="0.2">
      <c r="A10" t="s">
        <v>113</v>
      </c>
      <c r="B10" t="s">
        <v>164</v>
      </c>
      <c r="C10" t="s">
        <v>165</v>
      </c>
      <c r="D10" t="s">
        <v>166</v>
      </c>
      <c r="E10" t="s">
        <v>159</v>
      </c>
      <c r="F10" s="200">
        <v>13.98</v>
      </c>
    </row>
    <row r="11" spans="1:6" x14ac:dyDescent="0.2">
      <c r="A11" t="s">
        <v>113</v>
      </c>
      <c r="B11" t="s">
        <v>167</v>
      </c>
      <c r="C11" t="s">
        <v>168</v>
      </c>
      <c r="D11" t="s">
        <v>166</v>
      </c>
      <c r="E11" t="s">
        <v>159</v>
      </c>
      <c r="F11" s="200">
        <v>0</v>
      </c>
    </row>
    <row r="12" spans="1:6" x14ac:dyDescent="0.2">
      <c r="A12" t="s">
        <v>115</v>
      </c>
      <c r="B12" t="s">
        <v>156</v>
      </c>
      <c r="C12" t="s">
        <v>157</v>
      </c>
      <c r="D12" t="s">
        <v>158</v>
      </c>
      <c r="E12" t="s">
        <v>159</v>
      </c>
      <c r="F12" s="198">
        <v>82.44</v>
      </c>
    </row>
    <row r="13" spans="1:6" x14ac:dyDescent="0.2">
      <c r="A13" t="s">
        <v>115</v>
      </c>
      <c r="B13" t="s">
        <v>160</v>
      </c>
      <c r="C13" t="s">
        <v>161</v>
      </c>
      <c r="D13" t="s">
        <v>158</v>
      </c>
      <c r="E13" t="s">
        <v>159</v>
      </c>
      <c r="F13" s="198">
        <v>99.992800000000003</v>
      </c>
    </row>
    <row r="14" spans="1:6" x14ac:dyDescent="0.2">
      <c r="A14" t="s">
        <v>115</v>
      </c>
      <c r="B14" t="s">
        <v>162</v>
      </c>
      <c r="C14" t="s">
        <v>163</v>
      </c>
      <c r="D14" t="s">
        <v>158</v>
      </c>
      <c r="E14" t="s">
        <v>159</v>
      </c>
      <c r="F14" s="199">
        <v>91.216399999999993</v>
      </c>
    </row>
    <row r="15" spans="1:6" x14ac:dyDescent="0.2">
      <c r="A15" t="s">
        <v>115</v>
      </c>
      <c r="B15" t="s">
        <v>164</v>
      </c>
      <c r="C15" t="s">
        <v>165</v>
      </c>
      <c r="D15" t="s">
        <v>166</v>
      </c>
      <c r="E15" t="s">
        <v>159</v>
      </c>
      <c r="F15" s="200">
        <v>28.789000000000001</v>
      </c>
    </row>
    <row r="16" spans="1:6" x14ac:dyDescent="0.2">
      <c r="A16" t="s">
        <v>115</v>
      </c>
      <c r="B16" t="s">
        <v>167</v>
      </c>
      <c r="C16" t="s">
        <v>168</v>
      </c>
      <c r="D16" t="s">
        <v>166</v>
      </c>
      <c r="E16" t="s">
        <v>159</v>
      </c>
      <c r="F16" s="200">
        <v>20.326000000000001</v>
      </c>
    </row>
    <row r="17" spans="1:6" x14ac:dyDescent="0.2">
      <c r="A17" t="s">
        <v>117</v>
      </c>
      <c r="B17" t="s">
        <v>156</v>
      </c>
      <c r="C17" t="s">
        <v>157</v>
      </c>
      <c r="D17" t="s">
        <v>158</v>
      </c>
      <c r="E17" t="s">
        <v>159</v>
      </c>
      <c r="F17" s="198">
        <v>82.23</v>
      </c>
    </row>
    <row r="18" spans="1:6" x14ac:dyDescent="0.2">
      <c r="A18" t="s">
        <v>117</v>
      </c>
      <c r="B18" t="s">
        <v>160</v>
      </c>
      <c r="C18" t="s">
        <v>161</v>
      </c>
      <c r="D18" t="s">
        <v>158</v>
      </c>
      <c r="E18" t="s">
        <v>159</v>
      </c>
      <c r="F18" s="198">
        <v>99.925882352941187</v>
      </c>
    </row>
    <row r="19" spans="1:6" x14ac:dyDescent="0.2">
      <c r="A19" t="s">
        <v>117</v>
      </c>
      <c r="B19" t="s">
        <v>162</v>
      </c>
      <c r="C19" t="s">
        <v>163</v>
      </c>
      <c r="D19" t="s">
        <v>158</v>
      </c>
      <c r="E19" t="s">
        <v>159</v>
      </c>
      <c r="F19" s="199">
        <v>91.077941176470603</v>
      </c>
    </row>
    <row r="20" spans="1:6" x14ac:dyDescent="0.2">
      <c r="A20" t="s">
        <v>117</v>
      </c>
      <c r="B20" t="s">
        <v>164</v>
      </c>
      <c r="C20" t="s">
        <v>165</v>
      </c>
      <c r="D20" t="s">
        <v>166</v>
      </c>
      <c r="E20" t="s">
        <v>159</v>
      </c>
      <c r="F20" s="200">
        <v>3.22</v>
      </c>
    </row>
    <row r="21" spans="1:6" x14ac:dyDescent="0.2">
      <c r="A21" t="s">
        <v>117</v>
      </c>
      <c r="B21" t="s">
        <v>167</v>
      </c>
      <c r="C21" t="s">
        <v>168</v>
      </c>
      <c r="D21" t="s">
        <v>166</v>
      </c>
      <c r="E21" t="s">
        <v>159</v>
      </c>
      <c r="F21" s="197" t="s">
        <v>169</v>
      </c>
    </row>
    <row r="22" spans="1:6" x14ac:dyDescent="0.2">
      <c r="A22" t="s">
        <v>119</v>
      </c>
      <c r="B22" t="s">
        <v>156</v>
      </c>
      <c r="C22" t="s">
        <v>157</v>
      </c>
      <c r="D22" t="s">
        <v>158</v>
      </c>
      <c r="E22" t="s">
        <v>159</v>
      </c>
      <c r="F22" s="198">
        <v>75.52</v>
      </c>
    </row>
    <row r="23" spans="1:6" x14ac:dyDescent="0.2">
      <c r="A23" t="s">
        <v>119</v>
      </c>
      <c r="B23" t="s">
        <v>160</v>
      </c>
      <c r="C23" t="s">
        <v>161</v>
      </c>
      <c r="D23" t="s">
        <v>158</v>
      </c>
      <c r="E23" t="s">
        <v>159</v>
      </c>
      <c r="F23" s="198">
        <v>99.995238095238108</v>
      </c>
    </row>
    <row r="24" spans="1:6" x14ac:dyDescent="0.2">
      <c r="A24" t="s">
        <v>119</v>
      </c>
      <c r="B24" t="s">
        <v>162</v>
      </c>
      <c r="C24" t="s">
        <v>163</v>
      </c>
      <c r="D24" t="s">
        <v>158</v>
      </c>
      <c r="E24" t="s">
        <v>159</v>
      </c>
      <c r="F24" s="199">
        <v>87.757619047619045</v>
      </c>
    </row>
    <row r="25" spans="1:6" x14ac:dyDescent="0.2">
      <c r="A25" t="s">
        <v>119</v>
      </c>
      <c r="B25" t="s">
        <v>164</v>
      </c>
      <c r="C25" t="s">
        <v>165</v>
      </c>
      <c r="D25" t="s">
        <v>166</v>
      </c>
      <c r="E25" t="s">
        <v>159</v>
      </c>
      <c r="F25" s="200">
        <v>30.189</v>
      </c>
    </row>
    <row r="26" spans="1:6" x14ac:dyDescent="0.2">
      <c r="A26" t="s">
        <v>119</v>
      </c>
      <c r="B26" t="s">
        <v>167</v>
      </c>
      <c r="C26" t="s">
        <v>168</v>
      </c>
      <c r="D26" t="s">
        <v>166</v>
      </c>
      <c r="E26" t="s">
        <v>159</v>
      </c>
      <c r="F26" s="200">
        <v>6.4349999999999996</v>
      </c>
    </row>
    <row r="27" spans="1:6" x14ac:dyDescent="0.2">
      <c r="A27" t="s">
        <v>121</v>
      </c>
      <c r="B27" t="s">
        <v>156</v>
      </c>
      <c r="C27" t="s">
        <v>157</v>
      </c>
      <c r="D27" t="s">
        <v>158</v>
      </c>
      <c r="E27" t="s">
        <v>159</v>
      </c>
      <c r="F27" s="198">
        <v>82.67</v>
      </c>
    </row>
    <row r="28" spans="1:6" x14ac:dyDescent="0.2">
      <c r="A28" t="s">
        <v>121</v>
      </c>
      <c r="B28" t="s">
        <v>160</v>
      </c>
      <c r="C28" t="s">
        <v>161</v>
      </c>
      <c r="D28" t="s">
        <v>158</v>
      </c>
      <c r="E28" t="s">
        <v>159</v>
      </c>
      <c r="F28" s="198">
        <v>100</v>
      </c>
    </row>
    <row r="29" spans="1:6" x14ac:dyDescent="0.2">
      <c r="A29" t="s">
        <v>121</v>
      </c>
      <c r="B29" t="s">
        <v>162</v>
      </c>
      <c r="C29" t="s">
        <v>163</v>
      </c>
      <c r="D29" t="s">
        <v>158</v>
      </c>
      <c r="E29" t="s">
        <v>159</v>
      </c>
      <c r="F29" s="199">
        <v>91.335000000000008</v>
      </c>
    </row>
    <row r="30" spans="1:6" x14ac:dyDescent="0.2">
      <c r="A30" t="s">
        <v>121</v>
      </c>
      <c r="B30" t="s">
        <v>164</v>
      </c>
      <c r="C30" t="s">
        <v>165</v>
      </c>
      <c r="D30" t="s">
        <v>166</v>
      </c>
      <c r="E30" t="s">
        <v>159</v>
      </c>
      <c r="F30" s="200">
        <v>0.72899999999999998</v>
      </c>
    </row>
    <row r="31" spans="1:6" x14ac:dyDescent="0.2">
      <c r="A31" t="s">
        <v>121</v>
      </c>
      <c r="B31" t="s">
        <v>167</v>
      </c>
      <c r="C31" t="s">
        <v>168</v>
      </c>
      <c r="D31" t="s">
        <v>166</v>
      </c>
      <c r="E31" t="s">
        <v>159</v>
      </c>
      <c r="F31" s="200">
        <v>0.13800000000000001</v>
      </c>
    </row>
    <row r="32" spans="1:6" x14ac:dyDescent="0.2">
      <c r="A32" t="s">
        <v>123</v>
      </c>
      <c r="B32" t="s">
        <v>156</v>
      </c>
      <c r="C32" t="s">
        <v>157</v>
      </c>
      <c r="D32" t="s">
        <v>158</v>
      </c>
      <c r="E32" t="s">
        <v>159</v>
      </c>
      <c r="F32" s="198">
        <v>83.41</v>
      </c>
    </row>
    <row r="33" spans="1:6" x14ac:dyDescent="0.2">
      <c r="A33" t="s">
        <v>123</v>
      </c>
      <c r="B33" t="s">
        <v>160</v>
      </c>
      <c r="C33" t="s">
        <v>161</v>
      </c>
      <c r="D33" t="s">
        <v>158</v>
      </c>
      <c r="E33" t="s">
        <v>159</v>
      </c>
      <c r="F33" s="198">
        <v>99.787272727272722</v>
      </c>
    </row>
    <row r="34" spans="1:6" x14ac:dyDescent="0.2">
      <c r="A34" t="s">
        <v>123</v>
      </c>
      <c r="B34" t="s">
        <v>162</v>
      </c>
      <c r="C34" t="s">
        <v>163</v>
      </c>
      <c r="D34" t="s">
        <v>158</v>
      </c>
      <c r="E34" t="s">
        <v>159</v>
      </c>
      <c r="F34" s="199">
        <v>91.598636363636359</v>
      </c>
    </row>
    <row r="35" spans="1:6" x14ac:dyDescent="0.2">
      <c r="A35" t="s">
        <v>123</v>
      </c>
      <c r="B35" t="s">
        <v>164</v>
      </c>
      <c r="C35" t="s">
        <v>165</v>
      </c>
      <c r="D35" t="s">
        <v>166</v>
      </c>
      <c r="E35" t="s">
        <v>159</v>
      </c>
      <c r="F35" s="200">
        <v>14.170999999999999</v>
      </c>
    </row>
    <row r="36" spans="1:6" x14ac:dyDescent="0.2">
      <c r="A36" t="s">
        <v>123</v>
      </c>
      <c r="B36" t="s">
        <v>167</v>
      </c>
      <c r="C36" t="s">
        <v>168</v>
      </c>
      <c r="D36" t="s">
        <v>166</v>
      </c>
      <c r="E36" t="s">
        <v>159</v>
      </c>
      <c r="F36" s="200">
        <v>1.9330000000000001</v>
      </c>
    </row>
    <row r="37" spans="1:6" x14ac:dyDescent="0.2">
      <c r="A37" t="s">
        <v>125</v>
      </c>
      <c r="B37" t="s">
        <v>156</v>
      </c>
      <c r="C37" t="s">
        <v>157</v>
      </c>
      <c r="D37" t="s">
        <v>158</v>
      </c>
      <c r="E37" t="s">
        <v>159</v>
      </c>
      <c r="F37" s="198">
        <v>79.790000000000006</v>
      </c>
    </row>
    <row r="38" spans="1:6" x14ac:dyDescent="0.2">
      <c r="A38" t="s">
        <v>125</v>
      </c>
      <c r="B38" t="s">
        <v>160</v>
      </c>
      <c r="C38" t="s">
        <v>161</v>
      </c>
      <c r="D38" t="s">
        <v>158</v>
      </c>
      <c r="E38" t="s">
        <v>159</v>
      </c>
      <c r="F38" s="198">
        <v>99.012</v>
      </c>
    </row>
    <row r="39" spans="1:6" x14ac:dyDescent="0.2">
      <c r="A39" t="s">
        <v>125</v>
      </c>
      <c r="B39" t="s">
        <v>162</v>
      </c>
      <c r="C39" t="s">
        <v>163</v>
      </c>
      <c r="D39" t="s">
        <v>158</v>
      </c>
      <c r="E39" t="s">
        <v>159</v>
      </c>
      <c r="F39" s="199">
        <v>89.40100000000001</v>
      </c>
    </row>
    <row r="40" spans="1:6" x14ac:dyDescent="0.2">
      <c r="A40" t="s">
        <v>125</v>
      </c>
      <c r="B40" t="s">
        <v>164</v>
      </c>
      <c r="C40" t="s">
        <v>165</v>
      </c>
      <c r="D40" t="s">
        <v>166</v>
      </c>
      <c r="E40" t="s">
        <v>159</v>
      </c>
      <c r="F40" s="200">
        <v>2.198</v>
      </c>
    </row>
    <row r="41" spans="1:6" x14ac:dyDescent="0.2">
      <c r="A41" t="s">
        <v>125</v>
      </c>
      <c r="B41" t="s">
        <v>167</v>
      </c>
      <c r="C41" t="s">
        <v>168</v>
      </c>
      <c r="D41" t="s">
        <v>166</v>
      </c>
      <c r="E41" t="s">
        <v>159</v>
      </c>
      <c r="F41" s="200">
        <v>0</v>
      </c>
    </row>
    <row r="42" spans="1:6" x14ac:dyDescent="0.2">
      <c r="A42" t="s">
        <v>127</v>
      </c>
      <c r="B42" t="s">
        <v>156</v>
      </c>
      <c r="C42" t="s">
        <v>157</v>
      </c>
      <c r="D42" t="s">
        <v>158</v>
      </c>
      <c r="E42" t="s">
        <v>159</v>
      </c>
      <c r="F42" s="198">
        <v>74.06</v>
      </c>
    </row>
    <row r="43" spans="1:6" x14ac:dyDescent="0.2">
      <c r="A43" t="s">
        <v>127</v>
      </c>
      <c r="B43" t="s">
        <v>160</v>
      </c>
      <c r="C43" t="s">
        <v>161</v>
      </c>
      <c r="D43" t="s">
        <v>158</v>
      </c>
      <c r="E43" t="s">
        <v>159</v>
      </c>
      <c r="F43" s="198">
        <v>99.89866421004146</v>
      </c>
    </row>
    <row r="44" spans="1:6" x14ac:dyDescent="0.2">
      <c r="A44" t="s">
        <v>127</v>
      </c>
      <c r="B44" t="s">
        <v>162</v>
      </c>
      <c r="C44" t="s">
        <v>163</v>
      </c>
      <c r="D44" t="s">
        <v>158</v>
      </c>
      <c r="E44" t="s">
        <v>159</v>
      </c>
      <c r="F44" s="199">
        <v>86.979332105020731</v>
      </c>
    </row>
    <row r="45" spans="1:6" x14ac:dyDescent="0.2">
      <c r="A45" t="s">
        <v>127</v>
      </c>
      <c r="B45" t="s">
        <v>164</v>
      </c>
      <c r="C45" t="s">
        <v>165</v>
      </c>
      <c r="D45" t="s">
        <v>166</v>
      </c>
      <c r="E45" t="s">
        <v>159</v>
      </c>
      <c r="F45" s="200">
        <v>3.2919999999999998</v>
      </c>
    </row>
    <row r="46" spans="1:6" x14ac:dyDescent="0.2">
      <c r="A46" t="s">
        <v>127</v>
      </c>
      <c r="B46" t="s">
        <v>167</v>
      </c>
      <c r="C46" t="s">
        <v>168</v>
      </c>
      <c r="D46" t="s">
        <v>166</v>
      </c>
      <c r="E46" t="s">
        <v>159</v>
      </c>
      <c r="F46" s="200">
        <v>0</v>
      </c>
    </row>
    <row r="47" spans="1:6" x14ac:dyDescent="0.2">
      <c r="A47" t="s">
        <v>129</v>
      </c>
      <c r="B47" t="s">
        <v>156</v>
      </c>
      <c r="C47" t="s">
        <v>157</v>
      </c>
      <c r="D47" t="s">
        <v>158</v>
      </c>
      <c r="E47" t="s">
        <v>159</v>
      </c>
      <c r="F47" s="198">
        <v>83.82</v>
      </c>
    </row>
    <row r="48" spans="1:6" x14ac:dyDescent="0.2">
      <c r="A48" t="s">
        <v>129</v>
      </c>
      <c r="B48" t="s">
        <v>160</v>
      </c>
      <c r="C48" t="s">
        <v>161</v>
      </c>
      <c r="D48" t="s">
        <v>158</v>
      </c>
      <c r="E48" t="s">
        <v>159</v>
      </c>
      <c r="F48" s="198">
        <v>99.974285714285728</v>
      </c>
    </row>
    <row r="49" spans="1:6" x14ac:dyDescent="0.2">
      <c r="A49" t="s">
        <v>129</v>
      </c>
      <c r="B49" t="s">
        <v>162</v>
      </c>
      <c r="C49" t="s">
        <v>163</v>
      </c>
      <c r="D49" t="s">
        <v>158</v>
      </c>
      <c r="E49" t="s">
        <v>159</v>
      </c>
      <c r="F49" s="199">
        <v>91.897142857142853</v>
      </c>
    </row>
    <row r="50" spans="1:6" x14ac:dyDescent="0.2">
      <c r="A50" t="s">
        <v>129</v>
      </c>
      <c r="B50" t="s">
        <v>164</v>
      </c>
      <c r="C50" t="s">
        <v>165</v>
      </c>
      <c r="D50" t="s">
        <v>166</v>
      </c>
      <c r="E50" t="s">
        <v>159</v>
      </c>
      <c r="F50" s="200">
        <v>45.436</v>
      </c>
    </row>
    <row r="51" spans="1:6" x14ac:dyDescent="0.2">
      <c r="A51" t="s">
        <v>129</v>
      </c>
      <c r="B51" t="s">
        <v>167</v>
      </c>
      <c r="C51" t="s">
        <v>168</v>
      </c>
      <c r="D51" t="s">
        <v>166</v>
      </c>
      <c r="E51" t="s">
        <v>159</v>
      </c>
      <c r="F51" s="200">
        <v>20.873000000000001</v>
      </c>
    </row>
    <row r="52" spans="1:6" x14ac:dyDescent="0.2">
      <c r="A52" t="s">
        <v>131</v>
      </c>
      <c r="B52" t="s">
        <v>156</v>
      </c>
      <c r="C52" t="s">
        <v>157</v>
      </c>
      <c r="D52" t="s">
        <v>158</v>
      </c>
      <c r="E52" t="s">
        <v>159</v>
      </c>
      <c r="F52" s="198">
        <v>74.14</v>
      </c>
    </row>
    <row r="53" spans="1:6" x14ac:dyDescent="0.2">
      <c r="A53" t="s">
        <v>131</v>
      </c>
      <c r="B53" t="s">
        <v>160</v>
      </c>
      <c r="C53" t="s">
        <v>161</v>
      </c>
      <c r="D53" t="s">
        <v>158</v>
      </c>
      <c r="E53" t="s">
        <v>159</v>
      </c>
      <c r="F53" s="198">
        <v>99.787499999999994</v>
      </c>
    </row>
    <row r="54" spans="1:6" x14ac:dyDescent="0.2">
      <c r="A54" t="s">
        <v>131</v>
      </c>
      <c r="B54" t="s">
        <v>162</v>
      </c>
      <c r="C54" t="s">
        <v>163</v>
      </c>
      <c r="D54" t="s">
        <v>158</v>
      </c>
      <c r="E54" t="s">
        <v>159</v>
      </c>
      <c r="F54" s="199">
        <v>86.963750000000005</v>
      </c>
    </row>
    <row r="55" spans="1:6" x14ac:dyDescent="0.2">
      <c r="A55" t="s">
        <v>131</v>
      </c>
      <c r="B55" t="s">
        <v>164</v>
      </c>
      <c r="C55" t="s">
        <v>165</v>
      </c>
      <c r="D55" t="s">
        <v>166</v>
      </c>
      <c r="E55" t="s">
        <v>159</v>
      </c>
      <c r="F55" s="200">
        <v>10.955</v>
      </c>
    </row>
    <row r="56" spans="1:6" x14ac:dyDescent="0.2">
      <c r="A56" t="s">
        <v>131</v>
      </c>
      <c r="B56" t="s">
        <v>167</v>
      </c>
      <c r="C56" t="s">
        <v>168</v>
      </c>
      <c r="D56" t="s">
        <v>166</v>
      </c>
      <c r="E56" t="s">
        <v>159</v>
      </c>
      <c r="F56" s="200">
        <v>0</v>
      </c>
    </row>
    <row r="57" spans="1:6" x14ac:dyDescent="0.2">
      <c r="A57" t="s">
        <v>133</v>
      </c>
      <c r="B57" t="s">
        <v>156</v>
      </c>
      <c r="C57" t="s">
        <v>157</v>
      </c>
      <c r="D57" t="s">
        <v>158</v>
      </c>
      <c r="E57" t="s">
        <v>159</v>
      </c>
      <c r="F57" s="198">
        <v>78.790000000000006</v>
      </c>
    </row>
    <row r="58" spans="1:6" x14ac:dyDescent="0.2">
      <c r="A58" t="s">
        <v>133</v>
      </c>
      <c r="B58" t="s">
        <v>160</v>
      </c>
      <c r="C58" t="s">
        <v>161</v>
      </c>
      <c r="D58" t="s">
        <v>158</v>
      </c>
      <c r="E58" t="s">
        <v>159</v>
      </c>
      <c r="F58" s="198">
        <v>98.170038352807339</v>
      </c>
    </row>
    <row r="59" spans="1:6" x14ac:dyDescent="0.2">
      <c r="A59" t="s">
        <v>133</v>
      </c>
      <c r="B59" t="s">
        <v>162</v>
      </c>
      <c r="C59" t="s">
        <v>163</v>
      </c>
      <c r="D59" t="s">
        <v>158</v>
      </c>
      <c r="E59" t="s">
        <v>159</v>
      </c>
      <c r="F59" s="199">
        <v>88.480019176403673</v>
      </c>
    </row>
    <row r="60" spans="1:6" x14ac:dyDescent="0.2">
      <c r="A60" t="s">
        <v>133</v>
      </c>
      <c r="B60" t="s">
        <v>164</v>
      </c>
      <c r="C60" t="s">
        <v>165</v>
      </c>
      <c r="D60" t="s">
        <v>166</v>
      </c>
      <c r="E60" t="s">
        <v>159</v>
      </c>
      <c r="F60" s="200">
        <v>13.444000000000001</v>
      </c>
    </row>
    <row r="61" spans="1:6" x14ac:dyDescent="0.2">
      <c r="A61" t="s">
        <v>133</v>
      </c>
      <c r="B61" t="s">
        <v>167</v>
      </c>
      <c r="C61" t="s">
        <v>168</v>
      </c>
      <c r="D61" t="s">
        <v>166</v>
      </c>
      <c r="E61" t="s">
        <v>159</v>
      </c>
      <c r="F61" s="200">
        <v>0</v>
      </c>
    </row>
    <row r="62" spans="1:6" x14ac:dyDescent="0.2">
      <c r="A62" t="s">
        <v>135</v>
      </c>
      <c r="B62" t="s">
        <v>156</v>
      </c>
      <c r="C62" t="s">
        <v>157</v>
      </c>
      <c r="D62" t="s">
        <v>158</v>
      </c>
      <c r="E62" t="s">
        <v>159</v>
      </c>
      <c r="F62" s="198">
        <v>79.94</v>
      </c>
    </row>
    <row r="63" spans="1:6" x14ac:dyDescent="0.2">
      <c r="A63" t="s">
        <v>135</v>
      </c>
      <c r="B63" t="s">
        <v>160</v>
      </c>
      <c r="C63" t="s">
        <v>161</v>
      </c>
      <c r="D63" t="s">
        <v>158</v>
      </c>
      <c r="E63" t="s">
        <v>159</v>
      </c>
      <c r="F63" s="198">
        <v>99.958500995182277</v>
      </c>
    </row>
    <row r="64" spans="1:6" x14ac:dyDescent="0.2">
      <c r="A64" t="s">
        <v>135</v>
      </c>
      <c r="B64" t="s">
        <v>162</v>
      </c>
      <c r="C64" t="s">
        <v>163</v>
      </c>
      <c r="D64" t="s">
        <v>158</v>
      </c>
      <c r="E64" t="s">
        <v>159</v>
      </c>
      <c r="F64" s="199">
        <v>89.949250497591137</v>
      </c>
    </row>
    <row r="65" spans="1:6" x14ac:dyDescent="0.2">
      <c r="A65" t="s">
        <v>135</v>
      </c>
      <c r="B65" t="s">
        <v>164</v>
      </c>
      <c r="C65" t="s">
        <v>165</v>
      </c>
      <c r="D65" t="s">
        <v>166</v>
      </c>
      <c r="E65" t="s">
        <v>159</v>
      </c>
      <c r="F65" s="200">
        <v>9.9640000000000004</v>
      </c>
    </row>
    <row r="66" spans="1:6" x14ac:dyDescent="0.2">
      <c r="A66" t="s">
        <v>135</v>
      </c>
      <c r="B66" t="s">
        <v>167</v>
      </c>
      <c r="C66" t="s">
        <v>168</v>
      </c>
      <c r="D66" t="s">
        <v>166</v>
      </c>
      <c r="E66" t="s">
        <v>159</v>
      </c>
      <c r="F66" s="200">
        <v>6.3680000000000003</v>
      </c>
    </row>
    <row r="67" spans="1:6" x14ac:dyDescent="0.2">
      <c r="A67" t="s">
        <v>137</v>
      </c>
      <c r="B67" t="s">
        <v>156</v>
      </c>
      <c r="C67" t="s">
        <v>157</v>
      </c>
      <c r="D67" t="s">
        <v>158</v>
      </c>
      <c r="E67" t="s">
        <v>159</v>
      </c>
      <c r="F67" s="198">
        <v>68.27</v>
      </c>
    </row>
    <row r="68" spans="1:6" x14ac:dyDescent="0.2">
      <c r="A68" t="s">
        <v>137</v>
      </c>
      <c r="B68" t="s">
        <v>160</v>
      </c>
      <c r="C68" t="s">
        <v>161</v>
      </c>
      <c r="D68" t="s">
        <v>158</v>
      </c>
      <c r="E68" t="s">
        <v>159</v>
      </c>
      <c r="F68" s="198">
        <v>98.760909090909095</v>
      </c>
    </row>
    <row r="69" spans="1:6" x14ac:dyDescent="0.2">
      <c r="A69" t="s">
        <v>137</v>
      </c>
      <c r="B69" t="s">
        <v>162</v>
      </c>
      <c r="C69" t="s">
        <v>163</v>
      </c>
      <c r="D69" t="s">
        <v>158</v>
      </c>
      <c r="E69" t="s">
        <v>159</v>
      </c>
      <c r="F69" s="199">
        <v>83.515454545454546</v>
      </c>
    </row>
    <row r="70" spans="1:6" x14ac:dyDescent="0.2">
      <c r="A70" t="s">
        <v>137</v>
      </c>
      <c r="B70" t="s">
        <v>164</v>
      </c>
      <c r="C70" t="s">
        <v>165</v>
      </c>
      <c r="D70" t="s">
        <v>166</v>
      </c>
      <c r="E70" t="s">
        <v>159</v>
      </c>
      <c r="F70" s="200">
        <v>12.993</v>
      </c>
    </row>
    <row r="71" spans="1:6" x14ac:dyDescent="0.2">
      <c r="A71" t="s">
        <v>137</v>
      </c>
      <c r="B71" t="s">
        <v>167</v>
      </c>
      <c r="C71" t="s">
        <v>168</v>
      </c>
      <c r="D71" t="s">
        <v>166</v>
      </c>
      <c r="E71" t="s">
        <v>159</v>
      </c>
      <c r="F71" s="200">
        <v>16.582999999999998</v>
      </c>
    </row>
    <row r="72" spans="1:6" x14ac:dyDescent="0.2">
      <c r="A72" t="s">
        <v>139</v>
      </c>
      <c r="B72" t="s">
        <v>156</v>
      </c>
      <c r="C72" t="s">
        <v>157</v>
      </c>
      <c r="D72" t="s">
        <v>158</v>
      </c>
      <c r="E72" t="s">
        <v>159</v>
      </c>
      <c r="F72" s="198">
        <v>62.09</v>
      </c>
    </row>
    <row r="73" spans="1:6" x14ac:dyDescent="0.2">
      <c r="A73" t="s">
        <v>139</v>
      </c>
      <c r="B73" t="s">
        <v>160</v>
      </c>
      <c r="C73" t="s">
        <v>161</v>
      </c>
      <c r="D73" t="s">
        <v>158</v>
      </c>
      <c r="E73" t="s">
        <v>159</v>
      </c>
      <c r="F73" s="198">
        <v>86.892857142857125</v>
      </c>
    </row>
    <row r="74" spans="1:6" x14ac:dyDescent="0.2">
      <c r="A74" t="s">
        <v>139</v>
      </c>
      <c r="B74" t="s">
        <v>162</v>
      </c>
      <c r="C74" t="s">
        <v>163</v>
      </c>
      <c r="D74" t="s">
        <v>158</v>
      </c>
      <c r="E74" t="s">
        <v>159</v>
      </c>
      <c r="F74" s="199">
        <v>74.491428571428571</v>
      </c>
    </row>
    <row r="75" spans="1:6" x14ac:dyDescent="0.2">
      <c r="A75" t="s">
        <v>139</v>
      </c>
      <c r="B75" t="s">
        <v>164</v>
      </c>
      <c r="C75" t="s">
        <v>165</v>
      </c>
      <c r="D75" t="s">
        <v>166</v>
      </c>
      <c r="E75" t="s">
        <v>159</v>
      </c>
      <c r="F75" s="200">
        <v>39.652999999999999</v>
      </c>
    </row>
    <row r="76" spans="1:6" x14ac:dyDescent="0.2">
      <c r="A76" t="s">
        <v>139</v>
      </c>
      <c r="B76" t="s">
        <v>167</v>
      </c>
      <c r="C76" t="s">
        <v>168</v>
      </c>
      <c r="D76" t="s">
        <v>166</v>
      </c>
      <c r="E76" t="s">
        <v>159</v>
      </c>
      <c r="F76" s="200">
        <v>17.271000000000001</v>
      </c>
    </row>
    <row r="77" spans="1:6" x14ac:dyDescent="0.2">
      <c r="A77" t="s">
        <v>141</v>
      </c>
      <c r="B77" t="s">
        <v>156</v>
      </c>
      <c r="C77" t="s">
        <v>157</v>
      </c>
      <c r="D77" t="s">
        <v>158</v>
      </c>
      <c r="E77" t="s">
        <v>159</v>
      </c>
      <c r="F77" s="198">
        <v>81.040000000000006</v>
      </c>
    </row>
    <row r="78" spans="1:6" x14ac:dyDescent="0.2">
      <c r="A78" t="s">
        <v>141</v>
      </c>
      <c r="B78" t="s">
        <v>160</v>
      </c>
      <c r="C78" t="s">
        <v>161</v>
      </c>
      <c r="D78" t="s">
        <v>158</v>
      </c>
      <c r="E78" t="s">
        <v>159</v>
      </c>
      <c r="F78" s="198">
        <v>99.844400000000007</v>
      </c>
    </row>
    <row r="79" spans="1:6" x14ac:dyDescent="0.2">
      <c r="A79" t="s">
        <v>141</v>
      </c>
      <c r="B79" t="s">
        <v>162</v>
      </c>
      <c r="C79" t="s">
        <v>163</v>
      </c>
      <c r="D79" t="s">
        <v>158</v>
      </c>
      <c r="E79" t="s">
        <v>159</v>
      </c>
      <c r="F79" s="199">
        <v>90.442200000000014</v>
      </c>
    </row>
    <row r="80" spans="1:6" x14ac:dyDescent="0.2">
      <c r="A80" t="s">
        <v>141</v>
      </c>
      <c r="B80" t="s">
        <v>164</v>
      </c>
      <c r="C80" t="s">
        <v>165</v>
      </c>
      <c r="D80" t="s">
        <v>166</v>
      </c>
      <c r="E80" t="s">
        <v>159</v>
      </c>
      <c r="F80" s="200">
        <v>25.274815780407987</v>
      </c>
    </row>
    <row r="81" spans="1:6" x14ac:dyDescent="0.2">
      <c r="A81" t="s">
        <v>141</v>
      </c>
      <c r="B81" t="s">
        <v>167</v>
      </c>
      <c r="C81" t="s">
        <v>168</v>
      </c>
      <c r="D81" t="s">
        <v>166</v>
      </c>
      <c r="E81" t="s">
        <v>159</v>
      </c>
      <c r="F81" s="200">
        <v>8.1722908700000012</v>
      </c>
    </row>
    <row r="82" spans="1:6" x14ac:dyDescent="0.2">
      <c r="A82" t="s">
        <v>143</v>
      </c>
      <c r="B82" t="s">
        <v>156</v>
      </c>
      <c r="C82" t="s">
        <v>157</v>
      </c>
      <c r="D82" t="s">
        <v>158</v>
      </c>
      <c r="E82" t="s">
        <v>159</v>
      </c>
      <c r="F82" s="198">
        <v>80.650000000000006</v>
      </c>
    </row>
    <row r="83" spans="1:6" x14ac:dyDescent="0.2">
      <c r="A83" t="s">
        <v>143</v>
      </c>
      <c r="B83" t="s">
        <v>160</v>
      </c>
      <c r="C83" t="s">
        <v>161</v>
      </c>
      <c r="D83" t="s">
        <v>158</v>
      </c>
      <c r="E83" t="s">
        <v>159</v>
      </c>
      <c r="F83" s="198">
        <v>99.766800000000003</v>
      </c>
    </row>
    <row r="84" spans="1:6" x14ac:dyDescent="0.2">
      <c r="A84" t="s">
        <v>143</v>
      </c>
      <c r="B84" t="s">
        <v>162</v>
      </c>
      <c r="C84" t="s">
        <v>163</v>
      </c>
      <c r="D84" t="s">
        <v>158</v>
      </c>
      <c r="E84" t="s">
        <v>159</v>
      </c>
      <c r="F84" s="199">
        <v>90.208400000000012</v>
      </c>
    </row>
    <row r="85" spans="1:6" x14ac:dyDescent="0.2">
      <c r="A85" t="s">
        <v>143</v>
      </c>
      <c r="B85" t="s">
        <v>164</v>
      </c>
      <c r="C85" t="s">
        <v>165</v>
      </c>
      <c r="D85" t="s">
        <v>166</v>
      </c>
      <c r="E85" t="s">
        <v>159</v>
      </c>
      <c r="F85" s="200">
        <v>4.26</v>
      </c>
    </row>
    <row r="86" spans="1:6" x14ac:dyDescent="0.2">
      <c r="A86" t="s">
        <v>143</v>
      </c>
      <c r="B86" t="s">
        <v>167</v>
      </c>
      <c r="C86" t="s">
        <v>168</v>
      </c>
      <c r="D86" t="s">
        <v>166</v>
      </c>
      <c r="E86" t="s">
        <v>159</v>
      </c>
      <c r="F86" s="200">
        <v>4.4340000000000002</v>
      </c>
    </row>
    <row r="87" spans="1:6" x14ac:dyDescent="0.2">
      <c r="A87" t="s">
        <v>145</v>
      </c>
      <c r="B87" t="s">
        <v>156</v>
      </c>
      <c r="C87" t="s">
        <v>157</v>
      </c>
      <c r="D87" t="s">
        <v>158</v>
      </c>
      <c r="E87" t="s">
        <v>159</v>
      </c>
      <c r="F87" s="198">
        <v>67.290000000000006</v>
      </c>
    </row>
    <row r="88" spans="1:6" x14ac:dyDescent="0.2">
      <c r="A88" t="s">
        <v>145</v>
      </c>
      <c r="B88" t="s">
        <v>160</v>
      </c>
      <c r="C88" t="s">
        <v>161</v>
      </c>
      <c r="D88" t="s">
        <v>158</v>
      </c>
      <c r="E88" t="s">
        <v>159</v>
      </c>
      <c r="F88" s="198">
        <v>99.910458499988692</v>
      </c>
    </row>
    <row r="89" spans="1:6" x14ac:dyDescent="0.2">
      <c r="A89" t="s">
        <v>145</v>
      </c>
      <c r="B89" t="s">
        <v>162</v>
      </c>
      <c r="C89" t="s">
        <v>163</v>
      </c>
      <c r="D89" t="s">
        <v>158</v>
      </c>
      <c r="E89" t="s">
        <v>159</v>
      </c>
      <c r="F89" s="199">
        <v>83.600229249994356</v>
      </c>
    </row>
    <row r="90" spans="1:6" x14ac:dyDescent="0.2">
      <c r="A90" t="s">
        <v>145</v>
      </c>
      <c r="B90" t="s">
        <v>164</v>
      </c>
      <c r="C90" t="s">
        <v>165</v>
      </c>
      <c r="D90" t="s">
        <v>166</v>
      </c>
      <c r="E90" t="s">
        <v>159</v>
      </c>
      <c r="F90" s="200">
        <v>12.087</v>
      </c>
    </row>
    <row r="91" spans="1:6" x14ac:dyDescent="0.2">
      <c r="A91" t="s">
        <v>145</v>
      </c>
      <c r="B91" t="s">
        <v>167</v>
      </c>
      <c r="C91" t="s">
        <v>168</v>
      </c>
      <c r="D91" t="s">
        <v>166</v>
      </c>
      <c r="E91" t="s">
        <v>159</v>
      </c>
      <c r="F91" s="200">
        <v>10.397</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C65E-2E93-4CD3-A103-406AB93BF305}">
  <sheetPr>
    <tabColor rgb="FFFFFF99"/>
    <pageSetUpPr fitToPage="1"/>
  </sheetPr>
  <dimension ref="A2:H91"/>
  <sheetViews>
    <sheetView topLeftCell="A65" zoomScale="80" zoomScaleNormal="80" workbookViewId="0">
      <selection activeCell="F87" sqref="F87:F89"/>
    </sheetView>
  </sheetViews>
  <sheetFormatPr defaultColWidth="9.140625" defaultRowHeight="12.75" x14ac:dyDescent="0.2"/>
  <cols>
    <col min="1" max="1" width="9.140625" style="113"/>
    <col min="2" max="2" width="14.5703125" style="113" customWidth="1"/>
    <col min="3" max="3" width="39.85546875" style="113" bestFit="1" customWidth="1"/>
    <col min="4" max="4" width="11.28515625" style="113" customWidth="1"/>
    <col min="5" max="5" width="20" style="113" customWidth="1"/>
    <col min="6" max="16384" width="9.140625" style="113"/>
  </cols>
  <sheetData>
    <row r="2" spans="1:8" x14ac:dyDescent="0.2">
      <c r="A2" s="113" t="s">
        <v>111</v>
      </c>
      <c r="B2" s="113" t="s">
        <v>148</v>
      </c>
      <c r="C2" s="113" t="s">
        <v>149</v>
      </c>
      <c r="D2" s="113" t="s">
        <v>150</v>
      </c>
      <c r="E2" s="113" t="s">
        <v>151</v>
      </c>
      <c r="F2" s="113" t="str">
        <f xml:space="preserve"> F_Inputs!$F$6</f>
        <v>2023-24</v>
      </c>
      <c r="H2" s="114"/>
    </row>
    <row r="7" spans="1:8" x14ac:dyDescent="0.2">
      <c r="A7" s="113" t="s">
        <v>113</v>
      </c>
      <c r="B7" s="115" t="s">
        <v>170</v>
      </c>
      <c r="C7" s="115" t="s">
        <v>157</v>
      </c>
      <c r="D7" s="115" t="s">
        <v>171</v>
      </c>
      <c r="E7" s="116" t="s">
        <v>172</v>
      </c>
      <c r="F7" s="201">
        <v>79.010000000000005</v>
      </c>
    </row>
    <row r="8" spans="1:8" x14ac:dyDescent="0.2">
      <c r="B8" s="115" t="s">
        <v>173</v>
      </c>
      <c r="C8" s="115" t="s">
        <v>161</v>
      </c>
      <c r="D8" s="115" t="s">
        <v>171</v>
      </c>
      <c r="E8" s="116" t="s">
        <v>172</v>
      </c>
      <c r="F8" s="201">
        <v>100</v>
      </c>
    </row>
    <row r="9" spans="1:8" x14ac:dyDescent="0.2">
      <c r="B9" s="115" t="s">
        <v>174</v>
      </c>
      <c r="C9" s="115" t="s">
        <v>163</v>
      </c>
      <c r="D9" s="115" t="s">
        <v>171</v>
      </c>
      <c r="E9" s="116" t="s">
        <v>172</v>
      </c>
      <c r="F9" s="201">
        <v>89.5</v>
      </c>
    </row>
    <row r="10" spans="1:8" x14ac:dyDescent="0.2">
      <c r="B10" s="115" t="s">
        <v>175</v>
      </c>
      <c r="C10" s="115" t="s">
        <v>165</v>
      </c>
      <c r="D10" s="115" t="s">
        <v>166</v>
      </c>
      <c r="E10" s="116" t="s">
        <v>172</v>
      </c>
      <c r="G10" s="116"/>
      <c r="H10" s="117"/>
    </row>
    <row r="11" spans="1:8" x14ac:dyDescent="0.2">
      <c r="B11" s="115" t="s">
        <v>176</v>
      </c>
      <c r="C11" s="115" t="s">
        <v>168</v>
      </c>
      <c r="D11" s="115" t="s">
        <v>166</v>
      </c>
      <c r="E11" s="116" t="s">
        <v>172</v>
      </c>
      <c r="F11" s="114"/>
      <c r="G11" s="114"/>
      <c r="H11" s="116"/>
    </row>
    <row r="12" spans="1:8" x14ac:dyDescent="0.2">
      <c r="A12" s="113" t="s">
        <v>115</v>
      </c>
      <c r="B12" s="115" t="s">
        <v>170</v>
      </c>
      <c r="C12" s="115" t="s">
        <v>157</v>
      </c>
      <c r="D12" s="115" t="s">
        <v>171</v>
      </c>
      <c r="E12" s="116" t="s">
        <v>172</v>
      </c>
      <c r="F12" s="201">
        <v>79.37</v>
      </c>
    </row>
    <row r="13" spans="1:8" x14ac:dyDescent="0.2">
      <c r="B13" s="115" t="s">
        <v>173</v>
      </c>
      <c r="C13" s="115" t="s">
        <v>161</v>
      </c>
      <c r="D13" s="115" t="s">
        <v>171</v>
      </c>
      <c r="E13" s="116" t="s">
        <v>172</v>
      </c>
      <c r="F13" s="201">
        <v>99.98</v>
      </c>
    </row>
    <row r="14" spans="1:8" x14ac:dyDescent="0.2">
      <c r="B14" s="115" t="s">
        <v>174</v>
      </c>
      <c r="C14" s="115" t="s">
        <v>163</v>
      </c>
      <c r="D14" s="115" t="s">
        <v>171</v>
      </c>
      <c r="E14" s="116" t="s">
        <v>172</v>
      </c>
      <c r="F14" s="201">
        <v>89.68</v>
      </c>
    </row>
    <row r="15" spans="1:8" x14ac:dyDescent="0.2">
      <c r="B15" s="115" t="s">
        <v>175</v>
      </c>
      <c r="C15" s="115" t="s">
        <v>165</v>
      </c>
      <c r="D15" s="115" t="s">
        <v>166</v>
      </c>
      <c r="E15" s="116" t="s">
        <v>172</v>
      </c>
      <c r="F15" s="201">
        <v>34.963999999999999</v>
      </c>
      <c r="G15" s="116"/>
    </row>
    <row r="16" spans="1:8" x14ac:dyDescent="0.2">
      <c r="B16" s="115" t="s">
        <v>176</v>
      </c>
      <c r="C16" s="115" t="s">
        <v>168</v>
      </c>
      <c r="D16" s="115" t="s">
        <v>166</v>
      </c>
      <c r="E16" s="116" t="s">
        <v>172</v>
      </c>
      <c r="F16" s="202">
        <v>20.181000000000001</v>
      </c>
    </row>
    <row r="17" spans="1:8" x14ac:dyDescent="0.2">
      <c r="A17" s="113" t="s">
        <v>117</v>
      </c>
      <c r="B17" s="115" t="s">
        <v>170</v>
      </c>
      <c r="C17" s="115" t="s">
        <v>157</v>
      </c>
      <c r="D17" s="115" t="s">
        <v>171</v>
      </c>
      <c r="E17" s="116" t="s">
        <v>172</v>
      </c>
      <c r="F17" s="201">
        <v>79.33</v>
      </c>
    </row>
    <row r="18" spans="1:8" x14ac:dyDescent="0.2">
      <c r="B18" s="115" t="s">
        <v>173</v>
      </c>
      <c r="C18" s="115" t="s">
        <v>161</v>
      </c>
      <c r="D18" s="115" t="s">
        <v>171</v>
      </c>
      <c r="E18" s="116" t="s">
        <v>172</v>
      </c>
      <c r="F18" s="201">
        <v>99.93</v>
      </c>
    </row>
    <row r="19" spans="1:8" x14ac:dyDescent="0.2">
      <c r="B19" s="115" t="s">
        <v>174</v>
      </c>
      <c r="C19" s="115" t="s">
        <v>163</v>
      </c>
      <c r="D19" s="115" t="s">
        <v>171</v>
      </c>
      <c r="E19" s="116" t="s">
        <v>172</v>
      </c>
      <c r="F19" s="201">
        <v>89.63</v>
      </c>
    </row>
    <row r="20" spans="1:8" x14ac:dyDescent="0.2">
      <c r="B20" s="115" t="s">
        <v>175</v>
      </c>
      <c r="C20" s="115" t="s">
        <v>165</v>
      </c>
      <c r="D20" s="115" t="s">
        <v>166</v>
      </c>
      <c r="E20" s="116" t="s">
        <v>172</v>
      </c>
      <c r="G20" s="116"/>
    </row>
    <row r="21" spans="1:8" x14ac:dyDescent="0.2">
      <c r="B21" s="115" t="s">
        <v>176</v>
      </c>
      <c r="C21" s="115" t="s">
        <v>168</v>
      </c>
      <c r="D21" s="115" t="s">
        <v>166</v>
      </c>
      <c r="E21" s="116" t="s">
        <v>172</v>
      </c>
      <c r="G21" s="187"/>
      <c r="H21" s="117"/>
    </row>
    <row r="22" spans="1:8" x14ac:dyDescent="0.2">
      <c r="A22" s="113" t="s">
        <v>119</v>
      </c>
      <c r="B22" s="115" t="s">
        <v>170</v>
      </c>
      <c r="C22" s="115" t="s">
        <v>157</v>
      </c>
      <c r="D22" s="115" t="s">
        <v>171</v>
      </c>
      <c r="E22" s="116" t="s">
        <v>172</v>
      </c>
      <c r="F22" s="201">
        <v>73.94</v>
      </c>
    </row>
    <row r="23" spans="1:8" x14ac:dyDescent="0.2">
      <c r="B23" s="115" t="s">
        <v>173</v>
      </c>
      <c r="C23" s="115" t="s">
        <v>161</v>
      </c>
      <c r="D23" s="115" t="s">
        <v>171</v>
      </c>
      <c r="E23" s="116" t="s">
        <v>172</v>
      </c>
      <c r="F23" s="201">
        <v>100</v>
      </c>
    </row>
    <row r="24" spans="1:8" x14ac:dyDescent="0.2">
      <c r="B24" s="115" t="s">
        <v>174</v>
      </c>
      <c r="C24" s="115" t="s">
        <v>163</v>
      </c>
      <c r="D24" s="115" t="s">
        <v>171</v>
      </c>
      <c r="E24" s="116" t="s">
        <v>172</v>
      </c>
      <c r="F24" s="201">
        <v>86.97</v>
      </c>
    </row>
    <row r="25" spans="1:8" x14ac:dyDescent="0.2">
      <c r="B25" s="115" t="s">
        <v>175</v>
      </c>
      <c r="C25" s="115" t="s">
        <v>165</v>
      </c>
      <c r="D25" s="115" t="s">
        <v>166</v>
      </c>
      <c r="E25" s="116" t="s">
        <v>172</v>
      </c>
      <c r="H25" s="117"/>
    </row>
    <row r="26" spans="1:8" x14ac:dyDescent="0.2">
      <c r="B26" s="115" t="s">
        <v>176</v>
      </c>
      <c r="C26" s="115" t="s">
        <v>168</v>
      </c>
      <c r="D26" s="115" t="s">
        <v>166</v>
      </c>
      <c r="E26" s="116" t="s">
        <v>172</v>
      </c>
      <c r="H26" s="117"/>
    </row>
    <row r="27" spans="1:8" x14ac:dyDescent="0.2">
      <c r="A27" s="113" t="s">
        <v>121</v>
      </c>
      <c r="B27" s="115" t="s">
        <v>170</v>
      </c>
      <c r="C27" s="115" t="s">
        <v>157</v>
      </c>
      <c r="D27" s="115" t="s">
        <v>171</v>
      </c>
      <c r="E27" s="116" t="s">
        <v>172</v>
      </c>
      <c r="F27" s="201">
        <v>81.67</v>
      </c>
    </row>
    <row r="28" spans="1:8" x14ac:dyDescent="0.2">
      <c r="B28" s="115" t="s">
        <v>173</v>
      </c>
      <c r="C28" s="115" t="s">
        <v>161</v>
      </c>
      <c r="D28" s="115" t="s">
        <v>171</v>
      </c>
      <c r="E28" s="116" t="s">
        <v>172</v>
      </c>
      <c r="F28" s="201">
        <v>100</v>
      </c>
    </row>
    <row r="29" spans="1:8" x14ac:dyDescent="0.2">
      <c r="B29" s="115" t="s">
        <v>174</v>
      </c>
      <c r="C29" s="115" t="s">
        <v>163</v>
      </c>
      <c r="D29" s="115" t="s">
        <v>171</v>
      </c>
      <c r="E29" s="116" t="s">
        <v>172</v>
      </c>
      <c r="F29" s="201">
        <v>90.83</v>
      </c>
    </row>
    <row r="30" spans="1:8" x14ac:dyDescent="0.2">
      <c r="B30" s="115" t="s">
        <v>175</v>
      </c>
      <c r="C30" s="115" t="s">
        <v>165</v>
      </c>
      <c r="D30" s="115" t="s">
        <v>166</v>
      </c>
      <c r="E30" s="116" t="s">
        <v>172</v>
      </c>
    </row>
    <row r="31" spans="1:8" x14ac:dyDescent="0.2">
      <c r="B31" s="115" t="s">
        <v>176</v>
      </c>
      <c r="C31" s="115" t="s">
        <v>168</v>
      </c>
      <c r="D31" s="115" t="s">
        <v>166</v>
      </c>
      <c r="E31" s="116" t="s">
        <v>172</v>
      </c>
    </row>
    <row r="32" spans="1:8" x14ac:dyDescent="0.2">
      <c r="A32" s="113" t="s">
        <v>123</v>
      </c>
      <c r="B32" s="115" t="s">
        <v>170</v>
      </c>
      <c r="C32" s="115" t="s">
        <v>157</v>
      </c>
      <c r="D32" s="115" t="s">
        <v>171</v>
      </c>
      <c r="E32" s="116" t="s">
        <v>172</v>
      </c>
      <c r="F32" s="201">
        <v>84.04</v>
      </c>
    </row>
    <row r="33" spans="1:8" x14ac:dyDescent="0.2">
      <c r="B33" s="115" t="s">
        <v>173</v>
      </c>
      <c r="C33" s="115" t="s">
        <v>161</v>
      </c>
      <c r="D33" s="115" t="s">
        <v>171</v>
      </c>
      <c r="E33" s="116" t="s">
        <v>172</v>
      </c>
      <c r="F33" s="201">
        <v>99.78</v>
      </c>
    </row>
    <row r="34" spans="1:8" x14ac:dyDescent="0.2">
      <c r="B34" s="115" t="s">
        <v>174</v>
      </c>
      <c r="C34" s="115" t="s">
        <v>163</v>
      </c>
      <c r="D34" s="115" t="s">
        <v>171</v>
      </c>
      <c r="E34" s="116" t="s">
        <v>172</v>
      </c>
      <c r="F34" s="201">
        <v>91.91</v>
      </c>
    </row>
    <row r="35" spans="1:8" x14ac:dyDescent="0.2">
      <c r="B35" s="115" t="s">
        <v>175</v>
      </c>
      <c r="C35" s="115" t="s">
        <v>165</v>
      </c>
      <c r="D35" s="115" t="s">
        <v>166</v>
      </c>
      <c r="E35" s="116" t="s">
        <v>172</v>
      </c>
    </row>
    <row r="36" spans="1:8" x14ac:dyDescent="0.2">
      <c r="B36" s="115" t="s">
        <v>176</v>
      </c>
      <c r="C36" s="115" t="s">
        <v>168</v>
      </c>
      <c r="D36" s="115" t="s">
        <v>166</v>
      </c>
      <c r="E36" s="116" t="s">
        <v>172</v>
      </c>
    </row>
    <row r="37" spans="1:8" x14ac:dyDescent="0.2">
      <c r="A37" s="113" t="s">
        <v>125</v>
      </c>
      <c r="B37" s="115" t="s">
        <v>170</v>
      </c>
      <c r="C37" s="115" t="s">
        <v>157</v>
      </c>
      <c r="D37" s="115" t="s">
        <v>171</v>
      </c>
      <c r="E37" s="116" t="s">
        <v>172</v>
      </c>
      <c r="F37" s="201">
        <v>84.89</v>
      </c>
    </row>
    <row r="38" spans="1:8" x14ac:dyDescent="0.2">
      <c r="B38" s="115" t="s">
        <v>173</v>
      </c>
      <c r="C38" s="115" t="s">
        <v>161</v>
      </c>
      <c r="D38" s="115" t="s">
        <v>171</v>
      </c>
      <c r="E38" s="116" t="s">
        <v>172</v>
      </c>
      <c r="F38" s="201">
        <v>100</v>
      </c>
    </row>
    <row r="39" spans="1:8" x14ac:dyDescent="0.2">
      <c r="B39" s="115" t="s">
        <v>174</v>
      </c>
      <c r="C39" s="115" t="s">
        <v>163</v>
      </c>
      <c r="D39" s="115" t="s">
        <v>171</v>
      </c>
      <c r="E39" s="116" t="s">
        <v>172</v>
      </c>
      <c r="F39" s="201">
        <v>92.44</v>
      </c>
    </row>
    <row r="40" spans="1:8" x14ac:dyDescent="0.2">
      <c r="B40" s="115" t="s">
        <v>175</v>
      </c>
      <c r="C40" s="115" t="s">
        <v>165</v>
      </c>
      <c r="D40" s="115" t="s">
        <v>166</v>
      </c>
      <c r="E40" s="116" t="s">
        <v>172</v>
      </c>
      <c r="G40" s="116"/>
    </row>
    <row r="41" spans="1:8" x14ac:dyDescent="0.2">
      <c r="B41" s="115" t="s">
        <v>176</v>
      </c>
      <c r="C41" s="115" t="s">
        <v>168</v>
      </c>
      <c r="D41" s="115" t="s">
        <v>166</v>
      </c>
      <c r="E41" s="116" t="s">
        <v>172</v>
      </c>
      <c r="H41" s="116"/>
    </row>
    <row r="42" spans="1:8" x14ac:dyDescent="0.2">
      <c r="A42" s="113" t="s">
        <v>127</v>
      </c>
      <c r="B42" s="115" t="s">
        <v>170</v>
      </c>
      <c r="C42" s="115" t="s">
        <v>157</v>
      </c>
      <c r="D42" s="115" t="s">
        <v>171</v>
      </c>
      <c r="E42" s="116" t="s">
        <v>172</v>
      </c>
      <c r="F42" s="201">
        <v>74.55</v>
      </c>
    </row>
    <row r="43" spans="1:8" x14ac:dyDescent="0.2">
      <c r="B43" s="115" t="s">
        <v>173</v>
      </c>
      <c r="C43" s="115" t="s">
        <v>161</v>
      </c>
      <c r="D43" s="115" t="s">
        <v>171</v>
      </c>
      <c r="E43" s="116" t="s">
        <v>172</v>
      </c>
      <c r="F43" s="201">
        <v>99.79</v>
      </c>
    </row>
    <row r="44" spans="1:8" x14ac:dyDescent="0.2">
      <c r="B44" s="115" t="s">
        <v>174</v>
      </c>
      <c r="C44" s="115" t="s">
        <v>163</v>
      </c>
      <c r="D44" s="115" t="s">
        <v>171</v>
      </c>
      <c r="E44" s="116" t="s">
        <v>172</v>
      </c>
      <c r="F44" s="201">
        <v>87.17</v>
      </c>
    </row>
    <row r="45" spans="1:8" x14ac:dyDescent="0.2">
      <c r="B45" s="115" t="s">
        <v>175</v>
      </c>
      <c r="C45" s="115" t="s">
        <v>165</v>
      </c>
      <c r="D45" s="115" t="s">
        <v>166</v>
      </c>
      <c r="E45" s="116" t="s">
        <v>172</v>
      </c>
      <c r="G45" s="116"/>
      <c r="H45" s="118"/>
    </row>
    <row r="46" spans="1:8" x14ac:dyDescent="0.2">
      <c r="B46" s="115" t="s">
        <v>176</v>
      </c>
      <c r="C46" s="115" t="s">
        <v>168</v>
      </c>
      <c r="D46" s="115" t="s">
        <v>166</v>
      </c>
      <c r="E46" s="116" t="s">
        <v>172</v>
      </c>
      <c r="F46" s="114"/>
      <c r="G46" s="114"/>
      <c r="H46" s="117"/>
    </row>
    <row r="47" spans="1:8" x14ac:dyDescent="0.2">
      <c r="A47" s="113" t="s">
        <v>129</v>
      </c>
      <c r="B47" s="115" t="s">
        <v>170</v>
      </c>
      <c r="C47" s="115" t="s">
        <v>157</v>
      </c>
      <c r="D47" s="115" t="s">
        <v>171</v>
      </c>
      <c r="E47" s="116" t="s">
        <v>172</v>
      </c>
      <c r="F47" s="201">
        <v>84.36</v>
      </c>
    </row>
    <row r="48" spans="1:8" x14ac:dyDescent="0.2">
      <c r="B48" s="115" t="s">
        <v>173</v>
      </c>
      <c r="C48" s="115" t="s">
        <v>161</v>
      </c>
      <c r="D48" s="115" t="s">
        <v>171</v>
      </c>
      <c r="E48" s="116" t="s">
        <v>172</v>
      </c>
      <c r="F48" s="201">
        <v>99.96</v>
      </c>
    </row>
    <row r="49" spans="1:8" x14ac:dyDescent="0.2">
      <c r="B49" s="115" t="s">
        <v>174</v>
      </c>
      <c r="C49" s="115" t="s">
        <v>163</v>
      </c>
      <c r="D49" s="115" t="s">
        <v>171</v>
      </c>
      <c r="E49" s="116" t="s">
        <v>172</v>
      </c>
      <c r="F49" s="201">
        <v>92.16</v>
      </c>
    </row>
    <row r="50" spans="1:8" x14ac:dyDescent="0.2">
      <c r="B50" s="115" t="s">
        <v>175</v>
      </c>
      <c r="C50" s="115" t="s">
        <v>165</v>
      </c>
      <c r="D50" s="115" t="s">
        <v>166</v>
      </c>
      <c r="E50" s="116" t="s">
        <v>172</v>
      </c>
    </row>
    <row r="51" spans="1:8" x14ac:dyDescent="0.2">
      <c r="B51" s="115" t="s">
        <v>176</v>
      </c>
      <c r="C51" s="115" t="s">
        <v>168</v>
      </c>
      <c r="D51" s="115" t="s">
        <v>166</v>
      </c>
      <c r="E51" s="116" t="s">
        <v>172</v>
      </c>
    </row>
    <row r="52" spans="1:8" x14ac:dyDescent="0.2">
      <c r="A52" s="113" t="s">
        <v>131</v>
      </c>
      <c r="B52" s="115" t="s">
        <v>170</v>
      </c>
      <c r="C52" s="115" t="s">
        <v>157</v>
      </c>
      <c r="D52" s="115" t="s">
        <v>171</v>
      </c>
      <c r="E52" s="116" t="s">
        <v>172</v>
      </c>
      <c r="F52" s="201">
        <v>68.319999999999993</v>
      </c>
    </row>
    <row r="53" spans="1:8" x14ac:dyDescent="0.2">
      <c r="B53" s="115" t="s">
        <v>173</v>
      </c>
      <c r="C53" s="115" t="s">
        <v>161</v>
      </c>
      <c r="D53" s="115" t="s">
        <v>171</v>
      </c>
      <c r="E53" s="116" t="s">
        <v>172</v>
      </c>
      <c r="F53" s="201">
        <v>98.79</v>
      </c>
    </row>
    <row r="54" spans="1:8" x14ac:dyDescent="0.2">
      <c r="B54" s="115" t="s">
        <v>174</v>
      </c>
      <c r="C54" s="115" t="s">
        <v>163</v>
      </c>
      <c r="D54" s="115" t="s">
        <v>171</v>
      </c>
      <c r="E54" s="116" t="s">
        <v>172</v>
      </c>
      <c r="F54" s="201">
        <v>83.56</v>
      </c>
    </row>
    <row r="55" spans="1:8" x14ac:dyDescent="0.2">
      <c r="B55" s="115" t="s">
        <v>175</v>
      </c>
      <c r="C55" s="115" t="s">
        <v>165</v>
      </c>
      <c r="D55" s="115" t="s">
        <v>166</v>
      </c>
      <c r="E55" s="116" t="s">
        <v>172</v>
      </c>
      <c r="G55" s="116"/>
    </row>
    <row r="56" spans="1:8" x14ac:dyDescent="0.2">
      <c r="B56" s="115" t="s">
        <v>176</v>
      </c>
      <c r="C56" s="115" t="s">
        <v>168</v>
      </c>
      <c r="D56" s="115" t="s">
        <v>166</v>
      </c>
      <c r="E56" s="116" t="s">
        <v>172</v>
      </c>
      <c r="G56" s="187"/>
      <c r="H56" s="116"/>
    </row>
    <row r="57" spans="1:8" x14ac:dyDescent="0.2">
      <c r="A57" s="113" t="s">
        <v>133</v>
      </c>
      <c r="B57" s="115" t="s">
        <v>170</v>
      </c>
      <c r="C57" s="115" t="s">
        <v>157</v>
      </c>
      <c r="D57" s="115" t="s">
        <v>171</v>
      </c>
      <c r="E57" s="116" t="s">
        <v>172</v>
      </c>
      <c r="F57" s="201">
        <v>77.819999999999993</v>
      </c>
    </row>
    <row r="58" spans="1:8" x14ac:dyDescent="0.2">
      <c r="B58" s="115" t="s">
        <v>173</v>
      </c>
      <c r="C58" s="115" t="s">
        <v>161</v>
      </c>
      <c r="D58" s="115" t="s">
        <v>171</v>
      </c>
      <c r="E58" s="116" t="s">
        <v>172</v>
      </c>
      <c r="F58" s="201">
        <v>98.25</v>
      </c>
    </row>
    <row r="59" spans="1:8" x14ac:dyDescent="0.2">
      <c r="B59" s="115" t="s">
        <v>174</v>
      </c>
      <c r="C59" s="115" t="s">
        <v>163</v>
      </c>
      <c r="D59" s="115" t="s">
        <v>171</v>
      </c>
      <c r="E59" s="116" t="s">
        <v>172</v>
      </c>
      <c r="F59" s="201">
        <v>88.03</v>
      </c>
    </row>
    <row r="60" spans="1:8" x14ac:dyDescent="0.2">
      <c r="B60" s="115" t="s">
        <v>175</v>
      </c>
      <c r="C60" s="115" t="s">
        <v>165</v>
      </c>
      <c r="D60" s="115" t="s">
        <v>166</v>
      </c>
      <c r="E60" s="116" t="s">
        <v>172</v>
      </c>
      <c r="H60" s="118"/>
    </row>
    <row r="61" spans="1:8" x14ac:dyDescent="0.2">
      <c r="B61" s="115" t="s">
        <v>176</v>
      </c>
      <c r="C61" s="115" t="s">
        <v>168</v>
      </c>
      <c r="D61" s="115" t="s">
        <v>166</v>
      </c>
      <c r="E61" s="116" t="s">
        <v>172</v>
      </c>
    </row>
    <row r="62" spans="1:8" x14ac:dyDescent="0.2">
      <c r="A62" s="113" t="s">
        <v>135</v>
      </c>
      <c r="B62" s="115" t="s">
        <v>170</v>
      </c>
      <c r="C62" s="115" t="s">
        <v>157</v>
      </c>
      <c r="D62" s="115" t="s">
        <v>171</v>
      </c>
      <c r="E62" s="116" t="s">
        <v>172</v>
      </c>
      <c r="F62" s="201">
        <v>80.959999999999994</v>
      </c>
      <c r="G62" s="116"/>
    </row>
    <row r="63" spans="1:8" x14ac:dyDescent="0.2">
      <c r="B63" s="115" t="s">
        <v>173</v>
      </c>
      <c r="C63" s="115" t="s">
        <v>161</v>
      </c>
      <c r="D63" s="115" t="s">
        <v>171</v>
      </c>
      <c r="E63" s="116" t="s">
        <v>172</v>
      </c>
      <c r="F63" s="201">
        <v>99.89</v>
      </c>
    </row>
    <row r="64" spans="1:8" x14ac:dyDescent="0.2">
      <c r="B64" s="115" t="s">
        <v>174</v>
      </c>
      <c r="C64" s="115" t="s">
        <v>163</v>
      </c>
      <c r="D64" s="115" t="s">
        <v>171</v>
      </c>
      <c r="E64" s="116" t="s">
        <v>172</v>
      </c>
      <c r="F64" s="201">
        <v>90.43</v>
      </c>
    </row>
    <row r="65" spans="1:8" x14ac:dyDescent="0.2">
      <c r="B65" s="115" t="s">
        <v>175</v>
      </c>
      <c r="C65" s="115" t="s">
        <v>165</v>
      </c>
      <c r="D65" s="115" t="s">
        <v>166</v>
      </c>
      <c r="E65" s="116" t="s">
        <v>172</v>
      </c>
    </row>
    <row r="66" spans="1:8" x14ac:dyDescent="0.2">
      <c r="B66" s="115" t="s">
        <v>176</v>
      </c>
      <c r="C66" s="115" t="s">
        <v>168</v>
      </c>
      <c r="D66" s="115" t="s">
        <v>166</v>
      </c>
      <c r="E66" s="116" t="s">
        <v>172</v>
      </c>
    </row>
    <row r="67" spans="1:8" x14ac:dyDescent="0.2">
      <c r="A67" s="113" t="s">
        <v>137</v>
      </c>
      <c r="B67" s="115" t="s">
        <v>170</v>
      </c>
      <c r="C67" s="115" t="s">
        <v>157</v>
      </c>
      <c r="D67" s="115" t="s">
        <v>171</v>
      </c>
      <c r="E67" s="116" t="s">
        <v>172</v>
      </c>
      <c r="F67" s="201">
        <v>68.959999999999994</v>
      </c>
    </row>
    <row r="68" spans="1:8" x14ac:dyDescent="0.2">
      <c r="B68" s="115" t="s">
        <v>173</v>
      </c>
      <c r="C68" s="115" t="s">
        <v>161</v>
      </c>
      <c r="D68" s="115" t="s">
        <v>171</v>
      </c>
      <c r="E68" s="116" t="s">
        <v>172</v>
      </c>
      <c r="F68" s="201">
        <v>98.53</v>
      </c>
    </row>
    <row r="69" spans="1:8" x14ac:dyDescent="0.2">
      <c r="B69" s="115" t="s">
        <v>174</v>
      </c>
      <c r="C69" s="115" t="s">
        <v>163</v>
      </c>
      <c r="D69" s="115" t="s">
        <v>171</v>
      </c>
      <c r="E69" s="116" t="s">
        <v>172</v>
      </c>
      <c r="F69" s="201">
        <v>83.75</v>
      </c>
    </row>
    <row r="70" spans="1:8" x14ac:dyDescent="0.2">
      <c r="B70" s="115" t="s">
        <v>175</v>
      </c>
      <c r="C70" s="115" t="s">
        <v>165</v>
      </c>
      <c r="D70" s="115" t="s">
        <v>166</v>
      </c>
      <c r="E70" s="116" t="s">
        <v>172</v>
      </c>
      <c r="G70" s="116"/>
      <c r="H70" s="119"/>
    </row>
    <row r="71" spans="1:8" x14ac:dyDescent="0.2">
      <c r="B71" s="115" t="s">
        <v>176</v>
      </c>
      <c r="C71" s="115" t="s">
        <v>168</v>
      </c>
      <c r="D71" s="115" t="s">
        <v>166</v>
      </c>
      <c r="E71" s="116" t="s">
        <v>172</v>
      </c>
      <c r="G71" s="116"/>
      <c r="H71" s="119"/>
    </row>
    <row r="72" spans="1:8" x14ac:dyDescent="0.2">
      <c r="A72" s="113" t="s">
        <v>139</v>
      </c>
      <c r="B72" s="115" t="s">
        <v>170</v>
      </c>
      <c r="C72" s="115" t="s">
        <v>157</v>
      </c>
      <c r="D72" s="115" t="s">
        <v>171</v>
      </c>
      <c r="E72" s="116" t="s">
        <v>172</v>
      </c>
      <c r="F72" s="201">
        <v>65.22</v>
      </c>
    </row>
    <row r="73" spans="1:8" x14ac:dyDescent="0.2">
      <c r="B73" s="115" t="s">
        <v>173</v>
      </c>
      <c r="C73" s="115" t="s">
        <v>161</v>
      </c>
      <c r="D73" s="115" t="s">
        <v>171</v>
      </c>
      <c r="E73" s="116" t="s">
        <v>172</v>
      </c>
      <c r="F73" s="201">
        <v>94.53</v>
      </c>
    </row>
    <row r="74" spans="1:8" x14ac:dyDescent="0.2">
      <c r="B74" s="115" t="s">
        <v>174</v>
      </c>
      <c r="C74" s="115" t="s">
        <v>163</v>
      </c>
      <c r="D74" s="115" t="s">
        <v>171</v>
      </c>
      <c r="E74" s="116" t="s">
        <v>172</v>
      </c>
      <c r="F74" s="201">
        <v>79.87</v>
      </c>
    </row>
    <row r="75" spans="1:8" x14ac:dyDescent="0.2">
      <c r="B75" s="115" t="s">
        <v>175</v>
      </c>
      <c r="C75" s="115" t="s">
        <v>165</v>
      </c>
      <c r="D75" s="115" t="s">
        <v>166</v>
      </c>
      <c r="E75" s="116" t="s">
        <v>172</v>
      </c>
      <c r="G75" s="116"/>
      <c r="H75" s="117"/>
    </row>
    <row r="76" spans="1:8" x14ac:dyDescent="0.2">
      <c r="B76" s="115" t="s">
        <v>176</v>
      </c>
      <c r="C76" s="115" t="s">
        <v>168</v>
      </c>
      <c r="D76" s="115" t="s">
        <v>166</v>
      </c>
      <c r="E76" s="116" t="s">
        <v>172</v>
      </c>
      <c r="G76" s="116"/>
      <c r="H76" s="117"/>
    </row>
    <row r="77" spans="1:8" x14ac:dyDescent="0.2">
      <c r="A77" s="113" t="s">
        <v>141</v>
      </c>
      <c r="B77" s="115" t="s">
        <v>170</v>
      </c>
      <c r="C77" s="115" t="s">
        <v>157</v>
      </c>
      <c r="D77" s="115" t="s">
        <v>171</v>
      </c>
      <c r="E77" s="116" t="s">
        <v>172</v>
      </c>
      <c r="F77" s="201">
        <v>83.13</v>
      </c>
    </row>
    <row r="78" spans="1:8" x14ac:dyDescent="0.2">
      <c r="B78" s="115" t="s">
        <v>173</v>
      </c>
      <c r="C78" s="115" t="s">
        <v>161</v>
      </c>
      <c r="D78" s="115" t="s">
        <v>171</v>
      </c>
      <c r="E78" s="116" t="s">
        <v>172</v>
      </c>
      <c r="F78" s="201">
        <v>99.9</v>
      </c>
    </row>
    <row r="79" spans="1:8" x14ac:dyDescent="0.2">
      <c r="B79" s="115" t="s">
        <v>174</v>
      </c>
      <c r="C79" s="115" t="s">
        <v>163</v>
      </c>
      <c r="D79" s="115" t="s">
        <v>171</v>
      </c>
      <c r="E79" s="116" t="s">
        <v>172</v>
      </c>
      <c r="F79" s="201">
        <v>91.51</v>
      </c>
    </row>
    <row r="80" spans="1:8" x14ac:dyDescent="0.2">
      <c r="B80" s="115" t="s">
        <v>175</v>
      </c>
      <c r="C80" s="115" t="s">
        <v>165</v>
      </c>
      <c r="D80" s="115" t="s">
        <v>166</v>
      </c>
      <c r="E80" s="116" t="s">
        <v>172</v>
      </c>
      <c r="H80" s="118"/>
    </row>
    <row r="81" spans="1:8" x14ac:dyDescent="0.2">
      <c r="B81" s="115" t="s">
        <v>176</v>
      </c>
      <c r="C81" s="115" t="s">
        <v>168</v>
      </c>
      <c r="D81" s="115" t="s">
        <v>166</v>
      </c>
      <c r="E81" s="116" t="s">
        <v>172</v>
      </c>
      <c r="H81" s="118"/>
    </row>
    <row r="82" spans="1:8" x14ac:dyDescent="0.2">
      <c r="A82" s="113" t="s">
        <v>143</v>
      </c>
      <c r="B82" s="115" t="s">
        <v>170</v>
      </c>
      <c r="C82" s="115" t="s">
        <v>157</v>
      </c>
      <c r="D82" s="115" t="s">
        <v>171</v>
      </c>
      <c r="E82" s="116" t="s">
        <v>172</v>
      </c>
      <c r="F82" s="201">
        <v>80.12</v>
      </c>
    </row>
    <row r="83" spans="1:8" x14ac:dyDescent="0.2">
      <c r="B83" s="115" t="s">
        <v>173</v>
      </c>
      <c r="C83" s="115" t="s">
        <v>161</v>
      </c>
      <c r="D83" s="115" t="s">
        <v>171</v>
      </c>
      <c r="E83" s="116" t="s">
        <v>172</v>
      </c>
      <c r="F83" s="201">
        <v>99.87</v>
      </c>
    </row>
    <row r="84" spans="1:8" x14ac:dyDescent="0.2">
      <c r="B84" s="115" t="s">
        <v>174</v>
      </c>
      <c r="C84" s="115" t="s">
        <v>163</v>
      </c>
      <c r="D84" s="115" t="s">
        <v>171</v>
      </c>
      <c r="E84" s="116" t="s">
        <v>172</v>
      </c>
      <c r="F84" s="201">
        <v>90</v>
      </c>
    </row>
    <row r="85" spans="1:8" x14ac:dyDescent="0.2">
      <c r="B85" s="115" t="s">
        <v>175</v>
      </c>
      <c r="C85" s="115" t="s">
        <v>165</v>
      </c>
      <c r="D85" s="115" t="s">
        <v>166</v>
      </c>
      <c r="E85" s="116" t="s">
        <v>172</v>
      </c>
    </row>
    <row r="86" spans="1:8" x14ac:dyDescent="0.2">
      <c r="B86" s="115" t="s">
        <v>176</v>
      </c>
      <c r="C86" s="115" t="s">
        <v>168</v>
      </c>
      <c r="D86" s="115" t="s">
        <v>166</v>
      </c>
      <c r="E86" s="116" t="s">
        <v>172</v>
      </c>
    </row>
    <row r="87" spans="1:8" x14ac:dyDescent="0.2">
      <c r="A87" s="113" t="s">
        <v>145</v>
      </c>
      <c r="B87" s="115" t="s">
        <v>170</v>
      </c>
      <c r="C87" s="115" t="s">
        <v>157</v>
      </c>
      <c r="D87" s="115" t="s">
        <v>171</v>
      </c>
      <c r="E87" s="116" t="s">
        <v>172</v>
      </c>
      <c r="F87" s="201">
        <v>64.5</v>
      </c>
    </row>
    <row r="88" spans="1:8" x14ac:dyDescent="0.2">
      <c r="B88" s="115" t="s">
        <v>173</v>
      </c>
      <c r="C88" s="115" t="s">
        <v>161</v>
      </c>
      <c r="D88" s="115" t="s">
        <v>171</v>
      </c>
      <c r="E88" s="116" t="s">
        <v>172</v>
      </c>
      <c r="F88" s="201">
        <v>99.89</v>
      </c>
    </row>
    <row r="89" spans="1:8" x14ac:dyDescent="0.2">
      <c r="B89" s="115" t="s">
        <v>174</v>
      </c>
      <c r="C89" s="115" t="s">
        <v>163</v>
      </c>
      <c r="D89" s="115" t="s">
        <v>171</v>
      </c>
      <c r="E89" s="116" t="s">
        <v>172</v>
      </c>
      <c r="F89" s="201">
        <v>82.19</v>
      </c>
    </row>
    <row r="90" spans="1:8" x14ac:dyDescent="0.2">
      <c r="B90" s="115" t="s">
        <v>175</v>
      </c>
      <c r="C90" s="115" t="s">
        <v>165</v>
      </c>
      <c r="D90" s="115" t="s">
        <v>166</v>
      </c>
      <c r="E90" s="116" t="s">
        <v>172</v>
      </c>
      <c r="G90" s="116"/>
    </row>
    <row r="91" spans="1:8" x14ac:dyDescent="0.2">
      <c r="B91" s="115" t="s">
        <v>176</v>
      </c>
      <c r="C91" s="115" t="s">
        <v>168</v>
      </c>
      <c r="D91" s="115" t="s">
        <v>166</v>
      </c>
      <c r="E91" s="116" t="s">
        <v>172</v>
      </c>
      <c r="G91" s="116"/>
    </row>
  </sheetData>
  <phoneticPr fontId="46" type="noConversion"/>
  <pageMargins left="0.70866141732283472" right="0.70866141732283472" top="0.74803149606299213" bottom="0.74803149606299213" header="0.31496062992125984" footer="0.31496062992125984"/>
  <pageSetup paperSize="8" scale="96" fitToHeight="0" orientation="landscape"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D7DC-D8FC-4F49-A95F-60B9F89F538E}">
  <sheetPr>
    <tabColor rgb="FFFFFF99"/>
    <pageSetUpPr fitToPage="1"/>
  </sheetPr>
  <dimension ref="A2:F91"/>
  <sheetViews>
    <sheetView zoomScale="80" zoomScaleNormal="80" workbookViewId="0"/>
  </sheetViews>
  <sheetFormatPr defaultColWidth="9.140625" defaultRowHeight="12.75" x14ac:dyDescent="0.2"/>
  <cols>
    <col min="1" max="1" width="9.140625" style="113"/>
    <col min="2" max="2" width="14.5703125" style="113" customWidth="1"/>
    <col min="3" max="3" width="39.85546875" style="113" bestFit="1" customWidth="1"/>
    <col min="4" max="4" width="11.28515625" style="113" customWidth="1"/>
    <col min="5" max="5" width="20" style="113" customWidth="1"/>
    <col min="6" max="6" width="10.28515625" style="113" customWidth="1"/>
    <col min="7" max="16384" width="9.140625" style="113"/>
  </cols>
  <sheetData>
    <row r="2" spans="1:6" x14ac:dyDescent="0.2">
      <c r="A2" s="113" t="s">
        <v>111</v>
      </c>
      <c r="B2" s="113" t="s">
        <v>148</v>
      </c>
      <c r="C2" s="113" t="s">
        <v>149</v>
      </c>
      <c r="D2" s="113" t="s">
        <v>150</v>
      </c>
      <c r="E2" s="113" t="s">
        <v>151</v>
      </c>
      <c r="F2" s="113" t="str">
        <f xml:space="preserve"> F_Inputs!$F$6</f>
        <v>2023-24</v>
      </c>
    </row>
    <row r="7" spans="1:6" x14ac:dyDescent="0.2">
      <c r="A7" s="113" t="s">
        <v>113</v>
      </c>
      <c r="B7" s="115" t="s">
        <v>170</v>
      </c>
      <c r="C7" s="115" t="s">
        <v>157</v>
      </c>
      <c r="D7" s="115" t="s">
        <v>171</v>
      </c>
      <c r="E7" s="116" t="s">
        <v>172</v>
      </c>
      <c r="F7" s="120">
        <f xml:space="preserve"> IF( InpOverride!F7 = "", F_Inputs!F7, InpOverride!F7 )</f>
        <v>79.010000000000005</v>
      </c>
    </row>
    <row r="8" spans="1:6" x14ac:dyDescent="0.2">
      <c r="B8" s="115" t="s">
        <v>173</v>
      </c>
      <c r="C8" s="115" t="s">
        <v>161</v>
      </c>
      <c r="D8" s="115" t="s">
        <v>171</v>
      </c>
      <c r="E8" s="116" t="s">
        <v>172</v>
      </c>
      <c r="F8" s="120">
        <f xml:space="preserve"> IF( InpOverride!F8 = "", F_Inputs!F8, InpOverride!F8 )</f>
        <v>100</v>
      </c>
    </row>
    <row r="9" spans="1:6" x14ac:dyDescent="0.2">
      <c r="B9" s="115" t="s">
        <v>174</v>
      </c>
      <c r="C9" s="115" t="s">
        <v>163</v>
      </c>
      <c r="D9" s="115" t="s">
        <v>171</v>
      </c>
      <c r="E9" s="116" t="s">
        <v>172</v>
      </c>
      <c r="F9" s="120">
        <f xml:space="preserve"> IF( InpOverride!F9 = "", F_Inputs!F9, InpOverride!F9 )</f>
        <v>89.5</v>
      </c>
    </row>
    <row r="10" spans="1:6" x14ac:dyDescent="0.2">
      <c r="B10" s="115" t="s">
        <v>175</v>
      </c>
      <c r="C10" s="115" t="s">
        <v>165</v>
      </c>
      <c r="D10" s="115" t="s">
        <v>166</v>
      </c>
      <c r="E10" s="116" t="s">
        <v>172</v>
      </c>
      <c r="F10" s="120">
        <f xml:space="preserve"> IF( InpOverride!F10 = "", F_Inputs!F10, InpOverride!F10 )</f>
        <v>13.98</v>
      </c>
    </row>
    <row r="11" spans="1:6" x14ac:dyDescent="0.2">
      <c r="B11" s="115" t="s">
        <v>176</v>
      </c>
      <c r="C11" s="115" t="s">
        <v>168</v>
      </c>
      <c r="D11" s="115" t="s">
        <v>166</v>
      </c>
      <c r="E11" s="116" t="s">
        <v>172</v>
      </c>
      <c r="F11" s="120">
        <f xml:space="preserve"> IF( InpOverride!F11 = "", F_Inputs!F11, InpOverride!F11 )</f>
        <v>0</v>
      </c>
    </row>
    <row r="12" spans="1:6" x14ac:dyDescent="0.2">
      <c r="A12" s="113" t="s">
        <v>115</v>
      </c>
      <c r="B12" s="115" t="s">
        <v>170</v>
      </c>
      <c r="C12" s="115" t="s">
        <v>157</v>
      </c>
      <c r="D12" s="115" t="s">
        <v>171</v>
      </c>
      <c r="E12" s="116" t="s">
        <v>172</v>
      </c>
      <c r="F12" s="120">
        <f xml:space="preserve"> IF( InpOverride!F12 = "", F_Inputs!F12, InpOverride!F12 )</f>
        <v>79.37</v>
      </c>
    </row>
    <row r="13" spans="1:6" x14ac:dyDescent="0.2">
      <c r="B13" s="115" t="s">
        <v>173</v>
      </c>
      <c r="C13" s="115" t="s">
        <v>161</v>
      </c>
      <c r="D13" s="115" t="s">
        <v>171</v>
      </c>
      <c r="E13" s="116" t="s">
        <v>172</v>
      </c>
      <c r="F13" s="120">
        <f xml:space="preserve"> IF( InpOverride!F13 = "", F_Inputs!F13, InpOverride!F13 )</f>
        <v>99.98</v>
      </c>
    </row>
    <row r="14" spans="1:6" x14ac:dyDescent="0.2">
      <c r="B14" s="115" t="s">
        <v>174</v>
      </c>
      <c r="C14" s="115" t="s">
        <v>163</v>
      </c>
      <c r="D14" s="115" t="s">
        <v>171</v>
      </c>
      <c r="E14" s="116" t="s">
        <v>172</v>
      </c>
      <c r="F14" s="120">
        <f xml:space="preserve"> IF( InpOverride!F14 = "", F_Inputs!F14, InpOverride!F14 )</f>
        <v>89.68</v>
      </c>
    </row>
    <row r="15" spans="1:6" x14ac:dyDescent="0.2">
      <c r="B15" s="115" t="s">
        <v>175</v>
      </c>
      <c r="C15" s="115" t="s">
        <v>165</v>
      </c>
      <c r="D15" s="115" t="s">
        <v>166</v>
      </c>
      <c r="E15" s="116" t="s">
        <v>172</v>
      </c>
      <c r="F15" s="120">
        <f xml:space="preserve"> IF( InpOverride!F15 = "", F_Inputs!F15, InpOverride!F15 )</f>
        <v>34.963999999999999</v>
      </c>
    </row>
    <row r="16" spans="1:6" x14ac:dyDescent="0.2">
      <c r="B16" s="115" t="s">
        <v>176</v>
      </c>
      <c r="C16" s="115" t="s">
        <v>168</v>
      </c>
      <c r="D16" s="115" t="s">
        <v>166</v>
      </c>
      <c r="E16" s="116" t="s">
        <v>172</v>
      </c>
      <c r="F16" s="120">
        <f xml:space="preserve"> IF( InpOverride!F16 = "", F_Inputs!F16, InpOverride!F16 )</f>
        <v>20.181000000000001</v>
      </c>
    </row>
    <row r="17" spans="1:6" x14ac:dyDescent="0.2">
      <c r="A17" s="113" t="s">
        <v>117</v>
      </c>
      <c r="B17" s="115" t="s">
        <v>170</v>
      </c>
      <c r="C17" s="115" t="s">
        <v>157</v>
      </c>
      <c r="D17" s="115" t="s">
        <v>171</v>
      </c>
      <c r="E17" s="116" t="s">
        <v>172</v>
      </c>
      <c r="F17" s="120">
        <f xml:space="preserve"> IF( InpOverride!F17 = "", F_Inputs!F17, InpOverride!F17 )</f>
        <v>79.33</v>
      </c>
    </row>
    <row r="18" spans="1:6" x14ac:dyDescent="0.2">
      <c r="B18" s="115" t="s">
        <v>173</v>
      </c>
      <c r="C18" s="115" t="s">
        <v>161</v>
      </c>
      <c r="D18" s="115" t="s">
        <v>171</v>
      </c>
      <c r="E18" s="116" t="s">
        <v>172</v>
      </c>
      <c r="F18" s="120">
        <f xml:space="preserve"> IF( InpOverride!F18 = "", F_Inputs!F18, InpOverride!F18 )</f>
        <v>99.93</v>
      </c>
    </row>
    <row r="19" spans="1:6" x14ac:dyDescent="0.2">
      <c r="B19" s="115" t="s">
        <v>174</v>
      </c>
      <c r="C19" s="115" t="s">
        <v>163</v>
      </c>
      <c r="D19" s="115" t="s">
        <v>171</v>
      </c>
      <c r="E19" s="116" t="s">
        <v>172</v>
      </c>
      <c r="F19" s="120">
        <f xml:space="preserve"> IF( InpOverride!F19 = "", F_Inputs!F19, InpOverride!F19 )</f>
        <v>89.63</v>
      </c>
    </row>
    <row r="20" spans="1:6" x14ac:dyDescent="0.2">
      <c r="B20" s="115" t="s">
        <v>175</v>
      </c>
      <c r="C20" s="115" t="s">
        <v>165</v>
      </c>
      <c r="D20" s="115" t="s">
        <v>166</v>
      </c>
      <c r="E20" s="116" t="s">
        <v>172</v>
      </c>
      <c r="F20" s="120">
        <f xml:space="preserve"> IF( InpOverride!F20 = "", F_Inputs!F20, InpOverride!F20 )</f>
        <v>3.22</v>
      </c>
    </row>
    <row r="21" spans="1:6" x14ac:dyDescent="0.2">
      <c r="B21" s="115" t="s">
        <v>176</v>
      </c>
      <c r="C21" s="115" t="s">
        <v>168</v>
      </c>
      <c r="D21" s="115" t="s">
        <v>166</v>
      </c>
      <c r="E21" s="116" t="s">
        <v>172</v>
      </c>
      <c r="F21" s="120" t="str">
        <f xml:space="preserve"> IF( InpOverride!F21 = "", F_Inputs!F21, InpOverride!F21 )</f>
        <v>See RAG guidance</v>
      </c>
    </row>
    <row r="22" spans="1:6" x14ac:dyDescent="0.2">
      <c r="A22" s="113" t="s">
        <v>119</v>
      </c>
      <c r="B22" s="115" t="s">
        <v>170</v>
      </c>
      <c r="C22" s="115" t="s">
        <v>157</v>
      </c>
      <c r="D22" s="115" t="s">
        <v>171</v>
      </c>
      <c r="E22" s="116" t="s">
        <v>172</v>
      </c>
      <c r="F22" s="120">
        <f xml:space="preserve"> IF( InpOverride!F22 = "", F_Inputs!F22, InpOverride!F22 )</f>
        <v>73.94</v>
      </c>
    </row>
    <row r="23" spans="1:6" x14ac:dyDescent="0.2">
      <c r="B23" s="115" t="s">
        <v>173</v>
      </c>
      <c r="C23" s="115" t="s">
        <v>161</v>
      </c>
      <c r="D23" s="115" t="s">
        <v>171</v>
      </c>
      <c r="E23" s="116" t="s">
        <v>172</v>
      </c>
      <c r="F23" s="120">
        <f xml:space="preserve"> IF( InpOverride!F23 = "", F_Inputs!F23, InpOverride!F23 )</f>
        <v>100</v>
      </c>
    </row>
    <row r="24" spans="1:6" x14ac:dyDescent="0.2">
      <c r="B24" s="115" t="s">
        <v>174</v>
      </c>
      <c r="C24" s="115" t="s">
        <v>163</v>
      </c>
      <c r="D24" s="115" t="s">
        <v>171</v>
      </c>
      <c r="E24" s="116" t="s">
        <v>172</v>
      </c>
      <c r="F24" s="120">
        <f xml:space="preserve"> IF( InpOverride!F24 = "", F_Inputs!F24, InpOverride!F24 )</f>
        <v>86.97</v>
      </c>
    </row>
    <row r="25" spans="1:6" x14ac:dyDescent="0.2">
      <c r="B25" s="115" t="s">
        <v>175</v>
      </c>
      <c r="C25" s="115" t="s">
        <v>165</v>
      </c>
      <c r="D25" s="115" t="s">
        <v>166</v>
      </c>
      <c r="E25" s="116" t="s">
        <v>172</v>
      </c>
      <c r="F25" s="120">
        <f xml:space="preserve"> IF( InpOverride!F25 = "", F_Inputs!F25, InpOverride!F25 )</f>
        <v>30.189</v>
      </c>
    </row>
    <row r="26" spans="1:6" x14ac:dyDescent="0.2">
      <c r="B26" s="115" t="s">
        <v>176</v>
      </c>
      <c r="C26" s="115" t="s">
        <v>168</v>
      </c>
      <c r="D26" s="115" t="s">
        <v>166</v>
      </c>
      <c r="E26" s="116" t="s">
        <v>172</v>
      </c>
      <c r="F26" s="120">
        <f xml:space="preserve"> IF( InpOverride!F26 = "", F_Inputs!F26, InpOverride!F26 )</f>
        <v>6.4349999999999996</v>
      </c>
    </row>
    <row r="27" spans="1:6" x14ac:dyDescent="0.2">
      <c r="A27" s="113" t="s">
        <v>121</v>
      </c>
      <c r="B27" s="115" t="s">
        <v>170</v>
      </c>
      <c r="C27" s="115" t="s">
        <v>157</v>
      </c>
      <c r="D27" s="115" t="s">
        <v>171</v>
      </c>
      <c r="E27" s="116" t="s">
        <v>172</v>
      </c>
      <c r="F27" s="120">
        <f xml:space="preserve"> IF( InpOverride!F27 = "", F_Inputs!F27, InpOverride!F27 )</f>
        <v>81.67</v>
      </c>
    </row>
    <row r="28" spans="1:6" x14ac:dyDescent="0.2">
      <c r="B28" s="115" t="s">
        <v>173</v>
      </c>
      <c r="C28" s="115" t="s">
        <v>161</v>
      </c>
      <c r="D28" s="115" t="s">
        <v>171</v>
      </c>
      <c r="E28" s="116" t="s">
        <v>172</v>
      </c>
      <c r="F28" s="120">
        <f xml:space="preserve"> IF( InpOverride!F28 = "", F_Inputs!F28, InpOverride!F28 )</f>
        <v>100</v>
      </c>
    </row>
    <row r="29" spans="1:6" x14ac:dyDescent="0.2">
      <c r="B29" s="115" t="s">
        <v>174</v>
      </c>
      <c r="C29" s="115" t="s">
        <v>163</v>
      </c>
      <c r="D29" s="115" t="s">
        <v>171</v>
      </c>
      <c r="E29" s="116" t="s">
        <v>172</v>
      </c>
      <c r="F29" s="120">
        <f xml:space="preserve"> IF( InpOverride!F29 = "", F_Inputs!F29, InpOverride!F29 )</f>
        <v>90.83</v>
      </c>
    </row>
    <row r="30" spans="1:6" x14ac:dyDescent="0.2">
      <c r="B30" s="115" t="s">
        <v>175</v>
      </c>
      <c r="C30" s="115" t="s">
        <v>165</v>
      </c>
      <c r="D30" s="115" t="s">
        <v>166</v>
      </c>
      <c r="E30" s="116" t="s">
        <v>172</v>
      </c>
      <c r="F30" s="120">
        <f xml:space="preserve"> IF( InpOverride!F30 = "", F_Inputs!F30, InpOverride!F30 )</f>
        <v>0.72899999999999998</v>
      </c>
    </row>
    <row r="31" spans="1:6" x14ac:dyDescent="0.2">
      <c r="B31" s="115" t="s">
        <v>176</v>
      </c>
      <c r="C31" s="115" t="s">
        <v>168</v>
      </c>
      <c r="D31" s="115" t="s">
        <v>166</v>
      </c>
      <c r="E31" s="116" t="s">
        <v>172</v>
      </c>
      <c r="F31" s="120">
        <f xml:space="preserve"> IF( InpOverride!F31 = "", F_Inputs!F31, InpOverride!F31 )</f>
        <v>0.13800000000000001</v>
      </c>
    </row>
    <row r="32" spans="1:6" x14ac:dyDescent="0.2">
      <c r="A32" s="113" t="s">
        <v>123</v>
      </c>
      <c r="B32" s="115" t="s">
        <v>170</v>
      </c>
      <c r="C32" s="115" t="s">
        <v>157</v>
      </c>
      <c r="D32" s="115" t="s">
        <v>171</v>
      </c>
      <c r="E32" s="116" t="s">
        <v>172</v>
      </c>
      <c r="F32" s="120">
        <f xml:space="preserve"> IF( InpOverride!F32 = "", F_Inputs!F32, InpOverride!F32 )</f>
        <v>84.04</v>
      </c>
    </row>
    <row r="33" spans="1:6" x14ac:dyDescent="0.2">
      <c r="B33" s="115" t="s">
        <v>173</v>
      </c>
      <c r="C33" s="115" t="s">
        <v>161</v>
      </c>
      <c r="D33" s="115" t="s">
        <v>171</v>
      </c>
      <c r="E33" s="116" t="s">
        <v>172</v>
      </c>
      <c r="F33" s="120">
        <f xml:space="preserve"> IF( InpOverride!F33 = "", F_Inputs!F33, InpOverride!F33 )</f>
        <v>99.78</v>
      </c>
    </row>
    <row r="34" spans="1:6" x14ac:dyDescent="0.2">
      <c r="B34" s="115" t="s">
        <v>174</v>
      </c>
      <c r="C34" s="115" t="s">
        <v>163</v>
      </c>
      <c r="D34" s="115" t="s">
        <v>171</v>
      </c>
      <c r="E34" s="116" t="s">
        <v>172</v>
      </c>
      <c r="F34" s="120">
        <f xml:space="preserve"> IF( InpOverride!F34 = "", F_Inputs!F34, InpOverride!F34 )</f>
        <v>91.91</v>
      </c>
    </row>
    <row r="35" spans="1:6" x14ac:dyDescent="0.2">
      <c r="B35" s="115" t="s">
        <v>175</v>
      </c>
      <c r="C35" s="115" t="s">
        <v>165</v>
      </c>
      <c r="D35" s="115" t="s">
        <v>166</v>
      </c>
      <c r="E35" s="116" t="s">
        <v>172</v>
      </c>
      <c r="F35" s="120">
        <f xml:space="preserve"> IF( InpOverride!F35 = "", F_Inputs!F35, InpOverride!F35 )</f>
        <v>14.170999999999999</v>
      </c>
    </row>
    <row r="36" spans="1:6" x14ac:dyDescent="0.2">
      <c r="B36" s="115" t="s">
        <v>176</v>
      </c>
      <c r="C36" s="115" t="s">
        <v>168</v>
      </c>
      <c r="D36" s="115" t="s">
        <v>166</v>
      </c>
      <c r="E36" s="116" t="s">
        <v>172</v>
      </c>
      <c r="F36" s="120">
        <f xml:space="preserve"> IF( InpOverride!F36 = "", F_Inputs!F36, InpOverride!F36 )</f>
        <v>1.9330000000000001</v>
      </c>
    </row>
    <row r="37" spans="1:6" x14ac:dyDescent="0.2">
      <c r="A37" s="113" t="s">
        <v>125</v>
      </c>
      <c r="B37" s="115" t="s">
        <v>170</v>
      </c>
      <c r="C37" s="115" t="s">
        <v>157</v>
      </c>
      <c r="D37" s="115" t="s">
        <v>171</v>
      </c>
      <c r="E37" s="116" t="s">
        <v>172</v>
      </c>
      <c r="F37" s="120">
        <f xml:space="preserve"> IF( InpOverride!F37 = "", F_Inputs!F37, InpOverride!F37 )</f>
        <v>84.89</v>
      </c>
    </row>
    <row r="38" spans="1:6" x14ac:dyDescent="0.2">
      <c r="B38" s="115" t="s">
        <v>173</v>
      </c>
      <c r="C38" s="115" t="s">
        <v>161</v>
      </c>
      <c r="D38" s="115" t="s">
        <v>171</v>
      </c>
      <c r="E38" s="116" t="s">
        <v>172</v>
      </c>
      <c r="F38" s="120">
        <f xml:space="preserve"> IF( InpOverride!F38 = "", F_Inputs!F38, InpOverride!F38 )</f>
        <v>100</v>
      </c>
    </row>
    <row r="39" spans="1:6" x14ac:dyDescent="0.2">
      <c r="B39" s="115" t="s">
        <v>174</v>
      </c>
      <c r="C39" s="115" t="s">
        <v>163</v>
      </c>
      <c r="D39" s="115" t="s">
        <v>171</v>
      </c>
      <c r="E39" s="116" t="s">
        <v>172</v>
      </c>
      <c r="F39" s="120">
        <f xml:space="preserve"> IF( InpOverride!F39 = "", F_Inputs!F39, InpOverride!F39 )</f>
        <v>92.44</v>
      </c>
    </row>
    <row r="40" spans="1:6" x14ac:dyDescent="0.2">
      <c r="B40" s="115" t="s">
        <v>175</v>
      </c>
      <c r="C40" s="115" t="s">
        <v>165</v>
      </c>
      <c r="D40" s="115" t="s">
        <v>166</v>
      </c>
      <c r="E40" s="116" t="s">
        <v>172</v>
      </c>
      <c r="F40" s="120">
        <f xml:space="preserve"> IF( InpOverride!F40 = "", F_Inputs!F40, InpOverride!F40 )</f>
        <v>2.198</v>
      </c>
    </row>
    <row r="41" spans="1:6" x14ac:dyDescent="0.2">
      <c r="B41" s="115" t="s">
        <v>176</v>
      </c>
      <c r="C41" s="115" t="s">
        <v>168</v>
      </c>
      <c r="D41" s="115" t="s">
        <v>166</v>
      </c>
      <c r="E41" s="116" t="s">
        <v>172</v>
      </c>
      <c r="F41" s="120">
        <f xml:space="preserve"> IF( InpOverride!F41 = "", F_Inputs!F41, InpOverride!F41 )</f>
        <v>0</v>
      </c>
    </row>
    <row r="42" spans="1:6" x14ac:dyDescent="0.2">
      <c r="A42" s="113" t="s">
        <v>127</v>
      </c>
      <c r="B42" s="115" t="s">
        <v>170</v>
      </c>
      <c r="C42" s="115" t="s">
        <v>157</v>
      </c>
      <c r="D42" s="115" t="s">
        <v>171</v>
      </c>
      <c r="E42" s="116" t="s">
        <v>172</v>
      </c>
      <c r="F42" s="120">
        <f xml:space="preserve"> IF( InpOverride!F42 = "", F_Inputs!F42, InpOverride!F42 )</f>
        <v>74.55</v>
      </c>
    </row>
    <row r="43" spans="1:6" x14ac:dyDescent="0.2">
      <c r="B43" s="115" t="s">
        <v>173</v>
      </c>
      <c r="C43" s="115" t="s">
        <v>161</v>
      </c>
      <c r="D43" s="115" t="s">
        <v>171</v>
      </c>
      <c r="E43" s="116" t="s">
        <v>172</v>
      </c>
      <c r="F43" s="120">
        <f xml:space="preserve"> IF( InpOverride!F43 = "", F_Inputs!F43, InpOverride!F43 )</f>
        <v>99.79</v>
      </c>
    </row>
    <row r="44" spans="1:6" x14ac:dyDescent="0.2">
      <c r="B44" s="115" t="s">
        <v>174</v>
      </c>
      <c r="C44" s="115" t="s">
        <v>163</v>
      </c>
      <c r="D44" s="115" t="s">
        <v>171</v>
      </c>
      <c r="E44" s="116" t="s">
        <v>172</v>
      </c>
      <c r="F44" s="120">
        <f xml:space="preserve"> IF( InpOverride!F44 = "", F_Inputs!F44, InpOverride!F44 )</f>
        <v>87.17</v>
      </c>
    </row>
    <row r="45" spans="1:6" x14ac:dyDescent="0.2">
      <c r="B45" s="115" t="s">
        <v>175</v>
      </c>
      <c r="C45" s="115" t="s">
        <v>165</v>
      </c>
      <c r="D45" s="115" t="s">
        <v>166</v>
      </c>
      <c r="E45" s="116" t="s">
        <v>172</v>
      </c>
      <c r="F45" s="120">
        <f xml:space="preserve"> IF( InpOverride!F45 = "", F_Inputs!F45, InpOverride!F45 )</f>
        <v>3.2919999999999998</v>
      </c>
    </row>
    <row r="46" spans="1:6" x14ac:dyDescent="0.2">
      <c r="B46" s="115" t="s">
        <v>176</v>
      </c>
      <c r="C46" s="115" t="s">
        <v>168</v>
      </c>
      <c r="D46" s="115" t="s">
        <v>166</v>
      </c>
      <c r="E46" s="116" t="s">
        <v>172</v>
      </c>
      <c r="F46" s="120">
        <f xml:space="preserve"> IF( InpOverride!F46 = "", F_Inputs!F46, InpOverride!F46 )</f>
        <v>0</v>
      </c>
    </row>
    <row r="47" spans="1:6" x14ac:dyDescent="0.2">
      <c r="A47" s="113" t="s">
        <v>129</v>
      </c>
      <c r="B47" s="115" t="s">
        <v>170</v>
      </c>
      <c r="C47" s="115" t="s">
        <v>157</v>
      </c>
      <c r="D47" s="115" t="s">
        <v>171</v>
      </c>
      <c r="E47" s="116" t="s">
        <v>172</v>
      </c>
      <c r="F47" s="120">
        <f xml:space="preserve"> IF( InpOverride!F47 = "", F_Inputs!F47, InpOverride!F47 )</f>
        <v>84.36</v>
      </c>
    </row>
    <row r="48" spans="1:6" x14ac:dyDescent="0.2">
      <c r="B48" s="115" t="s">
        <v>173</v>
      </c>
      <c r="C48" s="115" t="s">
        <v>161</v>
      </c>
      <c r="D48" s="115" t="s">
        <v>171</v>
      </c>
      <c r="E48" s="116" t="s">
        <v>172</v>
      </c>
      <c r="F48" s="120">
        <f xml:space="preserve"> IF( InpOverride!F48 = "", F_Inputs!F48, InpOverride!F48 )</f>
        <v>99.96</v>
      </c>
    </row>
    <row r="49" spans="1:6" x14ac:dyDescent="0.2">
      <c r="B49" s="115" t="s">
        <v>174</v>
      </c>
      <c r="C49" s="115" t="s">
        <v>163</v>
      </c>
      <c r="D49" s="115" t="s">
        <v>171</v>
      </c>
      <c r="E49" s="116" t="s">
        <v>172</v>
      </c>
      <c r="F49" s="120">
        <f xml:space="preserve"> IF( InpOverride!F49 = "", F_Inputs!F49, InpOverride!F49 )</f>
        <v>92.16</v>
      </c>
    </row>
    <row r="50" spans="1:6" x14ac:dyDescent="0.2">
      <c r="B50" s="115" t="s">
        <v>175</v>
      </c>
      <c r="C50" s="115" t="s">
        <v>165</v>
      </c>
      <c r="D50" s="115" t="s">
        <v>166</v>
      </c>
      <c r="E50" s="116" t="s">
        <v>172</v>
      </c>
      <c r="F50" s="120">
        <f xml:space="preserve"> IF( InpOverride!F50 = "", F_Inputs!F50, InpOverride!F50 )</f>
        <v>45.436</v>
      </c>
    </row>
    <row r="51" spans="1:6" x14ac:dyDescent="0.2">
      <c r="B51" s="115" t="s">
        <v>176</v>
      </c>
      <c r="C51" s="115" t="s">
        <v>168</v>
      </c>
      <c r="D51" s="115" t="s">
        <v>166</v>
      </c>
      <c r="E51" s="116" t="s">
        <v>172</v>
      </c>
      <c r="F51" s="120">
        <f xml:space="preserve"> IF( InpOverride!F51 = "", F_Inputs!F51, InpOverride!F51 )</f>
        <v>20.873000000000001</v>
      </c>
    </row>
    <row r="52" spans="1:6" x14ac:dyDescent="0.2">
      <c r="A52" s="113" t="s">
        <v>131</v>
      </c>
      <c r="B52" s="115" t="s">
        <v>170</v>
      </c>
      <c r="C52" s="115" t="s">
        <v>157</v>
      </c>
      <c r="D52" s="115" t="s">
        <v>171</v>
      </c>
      <c r="E52" s="116" t="s">
        <v>172</v>
      </c>
      <c r="F52" s="120">
        <f xml:space="preserve"> IF( InpOverride!F52 = "", F_Inputs!F52, InpOverride!F52 )</f>
        <v>68.319999999999993</v>
      </c>
    </row>
    <row r="53" spans="1:6" x14ac:dyDescent="0.2">
      <c r="B53" s="115" t="s">
        <v>173</v>
      </c>
      <c r="C53" s="115" t="s">
        <v>161</v>
      </c>
      <c r="D53" s="115" t="s">
        <v>171</v>
      </c>
      <c r="E53" s="116" t="s">
        <v>172</v>
      </c>
      <c r="F53" s="120">
        <f xml:space="preserve"> IF( InpOverride!F53 = "", F_Inputs!F53, InpOverride!F53 )</f>
        <v>98.79</v>
      </c>
    </row>
    <row r="54" spans="1:6" x14ac:dyDescent="0.2">
      <c r="B54" s="115" t="s">
        <v>174</v>
      </c>
      <c r="C54" s="115" t="s">
        <v>163</v>
      </c>
      <c r="D54" s="115" t="s">
        <v>171</v>
      </c>
      <c r="E54" s="116" t="s">
        <v>172</v>
      </c>
      <c r="F54" s="120">
        <f xml:space="preserve"> IF( InpOverride!F54 = "", F_Inputs!F54, InpOverride!F54 )</f>
        <v>83.56</v>
      </c>
    </row>
    <row r="55" spans="1:6" x14ac:dyDescent="0.2">
      <c r="B55" s="115" t="s">
        <v>175</v>
      </c>
      <c r="C55" s="115" t="s">
        <v>165</v>
      </c>
      <c r="D55" s="115" t="s">
        <v>166</v>
      </c>
      <c r="E55" s="116" t="s">
        <v>172</v>
      </c>
      <c r="F55" s="120">
        <f xml:space="preserve"> IF( InpOverride!F55 = "", F_Inputs!F55, InpOverride!F55 )</f>
        <v>10.955</v>
      </c>
    </row>
    <row r="56" spans="1:6" x14ac:dyDescent="0.2">
      <c r="B56" s="115" t="s">
        <v>176</v>
      </c>
      <c r="C56" s="115" t="s">
        <v>168</v>
      </c>
      <c r="D56" s="115" t="s">
        <v>166</v>
      </c>
      <c r="E56" s="116" t="s">
        <v>172</v>
      </c>
      <c r="F56" s="120">
        <f xml:space="preserve"> IF( InpOverride!F56 = "", F_Inputs!F56, InpOverride!F56 )</f>
        <v>0</v>
      </c>
    </row>
    <row r="57" spans="1:6" x14ac:dyDescent="0.2">
      <c r="A57" s="113" t="s">
        <v>133</v>
      </c>
      <c r="B57" s="115" t="s">
        <v>170</v>
      </c>
      <c r="C57" s="115" t="s">
        <v>157</v>
      </c>
      <c r="D57" s="115" t="s">
        <v>171</v>
      </c>
      <c r="E57" s="116" t="s">
        <v>172</v>
      </c>
      <c r="F57" s="120">
        <f xml:space="preserve"> IF( InpOverride!F57 = "", F_Inputs!F57, InpOverride!F57 )</f>
        <v>77.819999999999993</v>
      </c>
    </row>
    <row r="58" spans="1:6" x14ac:dyDescent="0.2">
      <c r="B58" s="115" t="s">
        <v>173</v>
      </c>
      <c r="C58" s="115" t="s">
        <v>161</v>
      </c>
      <c r="D58" s="115" t="s">
        <v>171</v>
      </c>
      <c r="E58" s="116" t="s">
        <v>172</v>
      </c>
      <c r="F58" s="120">
        <f xml:space="preserve"> IF( InpOverride!F58 = "", F_Inputs!F58, InpOverride!F58 )</f>
        <v>98.25</v>
      </c>
    </row>
    <row r="59" spans="1:6" x14ac:dyDescent="0.2">
      <c r="B59" s="115" t="s">
        <v>174</v>
      </c>
      <c r="C59" s="115" t="s">
        <v>163</v>
      </c>
      <c r="D59" s="115" t="s">
        <v>171</v>
      </c>
      <c r="E59" s="116" t="s">
        <v>172</v>
      </c>
      <c r="F59" s="120">
        <f xml:space="preserve"> IF( InpOverride!F59 = "", F_Inputs!F59, InpOverride!F59 )</f>
        <v>88.03</v>
      </c>
    </row>
    <row r="60" spans="1:6" x14ac:dyDescent="0.2">
      <c r="B60" s="115" t="s">
        <v>175</v>
      </c>
      <c r="C60" s="115" t="s">
        <v>165</v>
      </c>
      <c r="D60" s="115" t="s">
        <v>166</v>
      </c>
      <c r="E60" s="116" t="s">
        <v>172</v>
      </c>
      <c r="F60" s="120">
        <f xml:space="preserve"> IF( InpOverride!F60 = "", F_Inputs!F60, InpOverride!F60 )</f>
        <v>13.444000000000001</v>
      </c>
    </row>
    <row r="61" spans="1:6" x14ac:dyDescent="0.2">
      <c r="B61" s="115" t="s">
        <v>176</v>
      </c>
      <c r="C61" s="115" t="s">
        <v>168</v>
      </c>
      <c r="D61" s="115" t="s">
        <v>166</v>
      </c>
      <c r="E61" s="116" t="s">
        <v>172</v>
      </c>
      <c r="F61" s="120">
        <f xml:space="preserve"> IF( InpOverride!F61 = "", F_Inputs!F61, InpOverride!F61 )</f>
        <v>0</v>
      </c>
    </row>
    <row r="62" spans="1:6" x14ac:dyDescent="0.2">
      <c r="A62" s="113" t="s">
        <v>135</v>
      </c>
      <c r="B62" s="115" t="s">
        <v>170</v>
      </c>
      <c r="C62" s="115" t="s">
        <v>157</v>
      </c>
      <c r="D62" s="115" t="s">
        <v>171</v>
      </c>
      <c r="E62" s="116" t="s">
        <v>172</v>
      </c>
      <c r="F62" s="120">
        <f xml:space="preserve"> IF( InpOverride!F62 = "", F_Inputs!F62, InpOverride!F62 )</f>
        <v>80.959999999999994</v>
      </c>
    </row>
    <row r="63" spans="1:6" x14ac:dyDescent="0.2">
      <c r="B63" s="115" t="s">
        <v>173</v>
      </c>
      <c r="C63" s="115" t="s">
        <v>161</v>
      </c>
      <c r="D63" s="115" t="s">
        <v>171</v>
      </c>
      <c r="E63" s="116" t="s">
        <v>172</v>
      </c>
      <c r="F63" s="120">
        <f xml:space="preserve"> IF( InpOverride!F63 = "", F_Inputs!F63, InpOverride!F63 )</f>
        <v>99.89</v>
      </c>
    </row>
    <row r="64" spans="1:6" x14ac:dyDescent="0.2">
      <c r="B64" s="115" t="s">
        <v>174</v>
      </c>
      <c r="C64" s="115" t="s">
        <v>163</v>
      </c>
      <c r="D64" s="115" t="s">
        <v>171</v>
      </c>
      <c r="E64" s="116" t="s">
        <v>172</v>
      </c>
      <c r="F64" s="120">
        <f xml:space="preserve"> IF( InpOverride!F64 = "", F_Inputs!F64, InpOverride!F64 )</f>
        <v>90.43</v>
      </c>
    </row>
    <row r="65" spans="1:6" x14ac:dyDescent="0.2">
      <c r="B65" s="115" t="s">
        <v>175</v>
      </c>
      <c r="C65" s="115" t="s">
        <v>165</v>
      </c>
      <c r="D65" s="115" t="s">
        <v>166</v>
      </c>
      <c r="E65" s="116" t="s">
        <v>172</v>
      </c>
      <c r="F65" s="120">
        <f xml:space="preserve"> IF( InpOverride!F65 = "", F_Inputs!F65, InpOverride!F65 )</f>
        <v>9.9640000000000004</v>
      </c>
    </row>
    <row r="66" spans="1:6" x14ac:dyDescent="0.2">
      <c r="B66" s="115" t="s">
        <v>176</v>
      </c>
      <c r="C66" s="115" t="s">
        <v>168</v>
      </c>
      <c r="D66" s="115" t="s">
        <v>166</v>
      </c>
      <c r="E66" s="116" t="s">
        <v>172</v>
      </c>
      <c r="F66" s="120">
        <f xml:space="preserve"> IF( InpOverride!F66 = "", F_Inputs!F66, InpOverride!F66 )</f>
        <v>6.3680000000000003</v>
      </c>
    </row>
    <row r="67" spans="1:6" x14ac:dyDescent="0.2">
      <c r="A67" s="113" t="s">
        <v>137</v>
      </c>
      <c r="B67" s="115" t="s">
        <v>170</v>
      </c>
      <c r="C67" s="115" t="s">
        <v>157</v>
      </c>
      <c r="D67" s="115" t="s">
        <v>171</v>
      </c>
      <c r="E67" s="116" t="s">
        <v>172</v>
      </c>
      <c r="F67" s="120">
        <f xml:space="preserve"> IF( InpOverride!F67 = "", F_Inputs!F67, InpOverride!F67 )</f>
        <v>68.959999999999994</v>
      </c>
    </row>
    <row r="68" spans="1:6" x14ac:dyDescent="0.2">
      <c r="B68" s="115" t="s">
        <v>173</v>
      </c>
      <c r="C68" s="115" t="s">
        <v>161</v>
      </c>
      <c r="D68" s="115" t="s">
        <v>171</v>
      </c>
      <c r="E68" s="116" t="s">
        <v>172</v>
      </c>
      <c r="F68" s="120">
        <f xml:space="preserve"> IF( InpOverride!F68 = "", F_Inputs!F68, InpOverride!F68 )</f>
        <v>98.53</v>
      </c>
    </row>
    <row r="69" spans="1:6" x14ac:dyDescent="0.2">
      <c r="B69" s="115" t="s">
        <v>174</v>
      </c>
      <c r="C69" s="115" t="s">
        <v>163</v>
      </c>
      <c r="D69" s="115" t="s">
        <v>171</v>
      </c>
      <c r="E69" s="116" t="s">
        <v>172</v>
      </c>
      <c r="F69" s="120">
        <f xml:space="preserve"> IF( InpOverride!F69 = "", F_Inputs!F69, InpOverride!F69 )</f>
        <v>83.75</v>
      </c>
    </row>
    <row r="70" spans="1:6" x14ac:dyDescent="0.2">
      <c r="B70" s="115" t="s">
        <v>175</v>
      </c>
      <c r="C70" s="115" t="s">
        <v>165</v>
      </c>
      <c r="D70" s="115" t="s">
        <v>166</v>
      </c>
      <c r="E70" s="116" t="s">
        <v>172</v>
      </c>
      <c r="F70" s="120">
        <f xml:space="preserve"> IF( InpOverride!F70 = "", F_Inputs!F70, InpOverride!F70 )</f>
        <v>12.993</v>
      </c>
    </row>
    <row r="71" spans="1:6" x14ac:dyDescent="0.2">
      <c r="B71" s="115" t="s">
        <v>176</v>
      </c>
      <c r="C71" s="115" t="s">
        <v>168</v>
      </c>
      <c r="D71" s="115" t="s">
        <v>166</v>
      </c>
      <c r="E71" s="116" t="s">
        <v>172</v>
      </c>
      <c r="F71" s="120">
        <f xml:space="preserve"> IF( InpOverride!F71 = "", F_Inputs!F71, InpOverride!F71 )</f>
        <v>16.582999999999998</v>
      </c>
    </row>
    <row r="72" spans="1:6" x14ac:dyDescent="0.2">
      <c r="A72" s="113" t="s">
        <v>139</v>
      </c>
      <c r="B72" s="115" t="s">
        <v>170</v>
      </c>
      <c r="C72" s="115" t="s">
        <v>157</v>
      </c>
      <c r="D72" s="115" t="s">
        <v>171</v>
      </c>
      <c r="E72" s="116" t="s">
        <v>172</v>
      </c>
      <c r="F72" s="120">
        <f xml:space="preserve"> IF( InpOverride!F72 = "", F_Inputs!F72, InpOverride!F72 )</f>
        <v>65.22</v>
      </c>
    </row>
    <row r="73" spans="1:6" x14ac:dyDescent="0.2">
      <c r="B73" s="115" t="s">
        <v>173</v>
      </c>
      <c r="C73" s="115" t="s">
        <v>161</v>
      </c>
      <c r="D73" s="115" t="s">
        <v>171</v>
      </c>
      <c r="E73" s="116" t="s">
        <v>172</v>
      </c>
      <c r="F73" s="120">
        <f xml:space="preserve"> IF( InpOverride!F73 = "", F_Inputs!F73, InpOverride!F73 )</f>
        <v>94.53</v>
      </c>
    </row>
    <row r="74" spans="1:6" x14ac:dyDescent="0.2">
      <c r="B74" s="115" t="s">
        <v>174</v>
      </c>
      <c r="C74" s="115" t="s">
        <v>163</v>
      </c>
      <c r="D74" s="115" t="s">
        <v>171</v>
      </c>
      <c r="E74" s="116" t="s">
        <v>172</v>
      </c>
      <c r="F74" s="120">
        <f xml:space="preserve"> IF( InpOverride!F74 = "", F_Inputs!F74, InpOverride!F74 )</f>
        <v>79.87</v>
      </c>
    </row>
    <row r="75" spans="1:6" x14ac:dyDescent="0.2">
      <c r="B75" s="115" t="s">
        <v>175</v>
      </c>
      <c r="C75" s="115" t="s">
        <v>165</v>
      </c>
      <c r="D75" s="115" t="s">
        <v>166</v>
      </c>
      <c r="E75" s="116" t="s">
        <v>172</v>
      </c>
      <c r="F75" s="120">
        <f xml:space="preserve"> IF( InpOverride!F75 = "", F_Inputs!F75, InpOverride!F75 )</f>
        <v>39.652999999999999</v>
      </c>
    </row>
    <row r="76" spans="1:6" x14ac:dyDescent="0.2">
      <c r="B76" s="115" t="s">
        <v>176</v>
      </c>
      <c r="C76" s="115" t="s">
        <v>168</v>
      </c>
      <c r="D76" s="115" t="s">
        <v>166</v>
      </c>
      <c r="E76" s="116" t="s">
        <v>172</v>
      </c>
      <c r="F76" s="120">
        <f xml:space="preserve"> IF( InpOverride!F76 = "", F_Inputs!F76, InpOverride!F76 )</f>
        <v>17.271000000000001</v>
      </c>
    </row>
    <row r="77" spans="1:6" x14ac:dyDescent="0.2">
      <c r="A77" s="113" t="s">
        <v>141</v>
      </c>
      <c r="B77" s="115" t="s">
        <v>170</v>
      </c>
      <c r="C77" s="115" t="s">
        <v>157</v>
      </c>
      <c r="D77" s="115" t="s">
        <v>171</v>
      </c>
      <c r="E77" s="116" t="s">
        <v>172</v>
      </c>
      <c r="F77" s="120">
        <f xml:space="preserve"> IF( InpOverride!F77 = "", F_Inputs!F77, InpOverride!F77 )</f>
        <v>83.13</v>
      </c>
    </row>
    <row r="78" spans="1:6" x14ac:dyDescent="0.2">
      <c r="B78" s="115" t="s">
        <v>173</v>
      </c>
      <c r="C78" s="115" t="s">
        <v>161</v>
      </c>
      <c r="D78" s="115" t="s">
        <v>171</v>
      </c>
      <c r="E78" s="116" t="s">
        <v>172</v>
      </c>
      <c r="F78" s="120">
        <f xml:space="preserve"> IF( InpOverride!F78 = "", F_Inputs!F78, InpOverride!F78 )</f>
        <v>99.9</v>
      </c>
    </row>
    <row r="79" spans="1:6" x14ac:dyDescent="0.2">
      <c r="B79" s="115" t="s">
        <v>174</v>
      </c>
      <c r="C79" s="115" t="s">
        <v>163</v>
      </c>
      <c r="D79" s="115" t="s">
        <v>171</v>
      </c>
      <c r="E79" s="116" t="s">
        <v>172</v>
      </c>
      <c r="F79" s="120">
        <f xml:space="preserve"> IF( InpOverride!F79 = "", F_Inputs!F79, InpOverride!F79 )</f>
        <v>91.51</v>
      </c>
    </row>
    <row r="80" spans="1:6" x14ac:dyDescent="0.2">
      <c r="B80" s="115" t="s">
        <v>175</v>
      </c>
      <c r="C80" s="115" t="s">
        <v>165</v>
      </c>
      <c r="D80" s="115" t="s">
        <v>166</v>
      </c>
      <c r="E80" s="116" t="s">
        <v>172</v>
      </c>
      <c r="F80" s="120">
        <f xml:space="preserve"> IF( InpOverride!F80 = "", F_Inputs!F80, InpOverride!F80 )</f>
        <v>25.274815780407987</v>
      </c>
    </row>
    <row r="81" spans="1:6" x14ac:dyDescent="0.2">
      <c r="B81" s="115" t="s">
        <v>176</v>
      </c>
      <c r="C81" s="115" t="s">
        <v>168</v>
      </c>
      <c r="D81" s="115" t="s">
        <v>166</v>
      </c>
      <c r="E81" s="116" t="s">
        <v>172</v>
      </c>
      <c r="F81" s="120">
        <f xml:space="preserve"> IF( InpOverride!F81 = "", F_Inputs!F81, InpOverride!F81 )</f>
        <v>8.1722908700000012</v>
      </c>
    </row>
    <row r="82" spans="1:6" x14ac:dyDescent="0.2">
      <c r="A82" s="113" t="s">
        <v>143</v>
      </c>
      <c r="B82" s="115" t="s">
        <v>170</v>
      </c>
      <c r="C82" s="115" t="s">
        <v>157</v>
      </c>
      <c r="D82" s="115" t="s">
        <v>171</v>
      </c>
      <c r="E82" s="116" t="s">
        <v>172</v>
      </c>
      <c r="F82" s="120">
        <f xml:space="preserve"> IF( InpOverride!F82 = "", F_Inputs!F82, InpOverride!F82 )</f>
        <v>80.12</v>
      </c>
    </row>
    <row r="83" spans="1:6" x14ac:dyDescent="0.2">
      <c r="B83" s="115" t="s">
        <v>173</v>
      </c>
      <c r="C83" s="115" t="s">
        <v>161</v>
      </c>
      <c r="D83" s="115" t="s">
        <v>171</v>
      </c>
      <c r="E83" s="116" t="s">
        <v>172</v>
      </c>
      <c r="F83" s="120">
        <f xml:space="preserve"> IF( InpOverride!F83 = "", F_Inputs!F83, InpOverride!F83 )</f>
        <v>99.87</v>
      </c>
    </row>
    <row r="84" spans="1:6" x14ac:dyDescent="0.2">
      <c r="B84" s="115" t="s">
        <v>174</v>
      </c>
      <c r="C84" s="115" t="s">
        <v>163</v>
      </c>
      <c r="D84" s="115" t="s">
        <v>171</v>
      </c>
      <c r="E84" s="116" t="s">
        <v>172</v>
      </c>
      <c r="F84" s="120">
        <f xml:space="preserve"> IF( InpOverride!F84 = "", F_Inputs!F84, InpOverride!F84 )</f>
        <v>90</v>
      </c>
    </row>
    <row r="85" spans="1:6" x14ac:dyDescent="0.2">
      <c r="B85" s="115" t="s">
        <v>175</v>
      </c>
      <c r="C85" s="115" t="s">
        <v>165</v>
      </c>
      <c r="D85" s="115" t="s">
        <v>166</v>
      </c>
      <c r="E85" s="116" t="s">
        <v>172</v>
      </c>
      <c r="F85" s="120">
        <f xml:space="preserve"> IF( InpOverride!F85 = "", F_Inputs!F85, InpOverride!F85 )</f>
        <v>4.26</v>
      </c>
    </row>
    <row r="86" spans="1:6" x14ac:dyDescent="0.2">
      <c r="B86" s="115" t="s">
        <v>176</v>
      </c>
      <c r="C86" s="115" t="s">
        <v>168</v>
      </c>
      <c r="D86" s="115" t="s">
        <v>166</v>
      </c>
      <c r="E86" s="116" t="s">
        <v>172</v>
      </c>
      <c r="F86" s="120">
        <f xml:space="preserve"> IF( InpOverride!F86 = "", F_Inputs!F86, InpOverride!F86 )</f>
        <v>4.4340000000000002</v>
      </c>
    </row>
    <row r="87" spans="1:6" x14ac:dyDescent="0.2">
      <c r="A87" s="113" t="s">
        <v>145</v>
      </c>
      <c r="B87" s="115" t="s">
        <v>170</v>
      </c>
      <c r="C87" s="115" t="s">
        <v>157</v>
      </c>
      <c r="D87" s="115" t="s">
        <v>171</v>
      </c>
      <c r="E87" s="116" t="s">
        <v>172</v>
      </c>
      <c r="F87" s="120">
        <f xml:space="preserve"> IF( InpOverride!F87 = "", F_Inputs!F87, InpOverride!F87 )</f>
        <v>64.5</v>
      </c>
    </row>
    <row r="88" spans="1:6" x14ac:dyDescent="0.2">
      <c r="B88" s="115" t="s">
        <v>173</v>
      </c>
      <c r="C88" s="115" t="s">
        <v>161</v>
      </c>
      <c r="D88" s="115" t="s">
        <v>171</v>
      </c>
      <c r="E88" s="116" t="s">
        <v>172</v>
      </c>
      <c r="F88" s="120">
        <f xml:space="preserve"> IF( InpOverride!F88 = "", F_Inputs!F88, InpOverride!F88 )</f>
        <v>99.89</v>
      </c>
    </row>
    <row r="89" spans="1:6" x14ac:dyDescent="0.2">
      <c r="B89" s="115" t="s">
        <v>174</v>
      </c>
      <c r="C89" s="115" t="s">
        <v>163</v>
      </c>
      <c r="D89" s="115" t="s">
        <v>171</v>
      </c>
      <c r="E89" s="116" t="s">
        <v>172</v>
      </c>
      <c r="F89" s="120">
        <f xml:space="preserve"> IF( InpOverride!F89 = "", F_Inputs!F89, InpOverride!F89 )</f>
        <v>82.19</v>
      </c>
    </row>
    <row r="90" spans="1:6" x14ac:dyDescent="0.2">
      <c r="B90" s="115" t="s">
        <v>175</v>
      </c>
      <c r="C90" s="115" t="s">
        <v>165</v>
      </c>
      <c r="D90" s="115" t="s">
        <v>166</v>
      </c>
      <c r="E90" s="116" t="s">
        <v>172</v>
      </c>
      <c r="F90" s="120">
        <f xml:space="preserve"> IF( InpOverride!F90 = "", F_Inputs!F90, InpOverride!F90 )</f>
        <v>12.087</v>
      </c>
    </row>
    <row r="91" spans="1:6" x14ac:dyDescent="0.2">
      <c r="B91" s="115" t="s">
        <v>176</v>
      </c>
      <c r="C91" s="115" t="s">
        <v>168</v>
      </c>
      <c r="D91" s="115" t="s">
        <v>166</v>
      </c>
      <c r="E91" s="116" t="s">
        <v>172</v>
      </c>
      <c r="F91" s="120">
        <f xml:space="preserve"> IF( InpOverride!F91 = "", F_Inputs!F91, InpOverride!F91 )</f>
        <v>10.397</v>
      </c>
    </row>
  </sheetData>
  <pageMargins left="0.70866141732283472" right="0.70866141732283472" top="0.74803149606299213" bottom="0.74803149606299213" header="0.31496062992125984" footer="0.31496062992125984"/>
  <pageSetup paperSize="8" fitToHeight="0" orientation="landscape" r:id="rId1"/>
  <headerFooter>
    <oddHeader>&amp;L&amp;F&amp;CSheet: &amp;A&amp;ROFFICIAL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8BB06-D042-4409-BE27-BD4B7152DCCF}">
  <sheetPr>
    <tabColor rgb="FFFFFF99"/>
    <pageSetUpPr fitToPage="1"/>
  </sheetPr>
  <dimension ref="A1:Z106"/>
  <sheetViews>
    <sheetView zoomScale="80" zoomScaleNormal="80" zoomScaleSheetLayoutView="100" workbookViewId="0"/>
  </sheetViews>
  <sheetFormatPr defaultColWidth="9.140625" defaultRowHeight="12.75" x14ac:dyDescent="0.2"/>
  <cols>
    <col min="1" max="4" width="2.7109375" style="4" customWidth="1"/>
    <col min="5" max="5" width="60.7109375" style="4" customWidth="1"/>
    <col min="6" max="6" width="12.85546875" style="4" customWidth="1"/>
    <col min="7" max="8" width="17.140625" style="4" customWidth="1"/>
    <col min="9" max="9" width="2.7109375" style="4" customWidth="1"/>
    <col min="10" max="26" width="9.140625" style="4"/>
    <col min="27" max="27" width="2.7109375" style="4" customWidth="1"/>
    <col min="28" max="16384" width="9.140625" style="4"/>
  </cols>
  <sheetData>
    <row r="1" spans="1:8" s="3" customFormat="1" ht="30" x14ac:dyDescent="0.4">
      <c r="A1" s="3" t="str">
        <f ca="1" xml:space="preserve"> RIGHT(CELL("filename", $A$1), LEN(CELL("filename", $A$1)) - SEARCH("]", CELL("filename", $A$1)))</f>
        <v>Inputs</v>
      </c>
      <c r="F1" s="3" t="str">
        <f xml:space="preserve"> F_Inputs!$F$6</f>
        <v>2023-24</v>
      </c>
    </row>
    <row r="2" spans="1:8" x14ac:dyDescent="0.2">
      <c r="F2" s="7" t="s">
        <v>177</v>
      </c>
      <c r="G2" s="7" t="s">
        <v>150</v>
      </c>
      <c r="H2" s="7" t="s">
        <v>178</v>
      </c>
    </row>
    <row r="3" spans="1:8" s="1" customFormat="1" ht="13.5" x14ac:dyDescent="0.25">
      <c r="A3" s="1" t="s">
        <v>179</v>
      </c>
    </row>
    <row r="4" spans="1:8" s="8" customFormat="1" x14ac:dyDescent="0.2">
      <c r="A4" s="4"/>
      <c r="B4" s="4"/>
      <c r="C4" s="4"/>
      <c r="D4" s="4"/>
      <c r="E4" s="4"/>
      <c r="F4" s="4"/>
    </row>
    <row r="5" spans="1:8" s="8" customFormat="1" ht="15.75" x14ac:dyDescent="0.3">
      <c r="A5" s="9"/>
      <c r="B5" s="10" t="s">
        <v>180</v>
      </c>
      <c r="C5" s="4"/>
      <c r="D5" s="4"/>
      <c r="E5" s="4"/>
      <c r="F5" s="4"/>
    </row>
    <row r="6" spans="1:8" s="8" customFormat="1" x14ac:dyDescent="0.2">
      <c r="A6" s="4"/>
      <c r="B6" s="4"/>
      <c r="C6" s="11" t="s">
        <v>181</v>
      </c>
      <c r="D6" s="4"/>
      <c r="E6" s="4"/>
      <c r="F6" s="4"/>
    </row>
    <row r="7" spans="1:8" s="22" customFormat="1" x14ac:dyDescent="0.2">
      <c r="C7" s="178"/>
      <c r="E7" s="22" t="s">
        <v>112</v>
      </c>
      <c r="F7" s="179">
        <f>InpActive!F7</f>
        <v>79.010000000000005</v>
      </c>
      <c r="G7" s="180" t="s">
        <v>171</v>
      </c>
      <c r="H7" s="180"/>
    </row>
    <row r="8" spans="1:8" s="22" customFormat="1" x14ac:dyDescent="0.2">
      <c r="C8" s="178"/>
      <c r="E8" s="22" t="s">
        <v>114</v>
      </c>
      <c r="F8" s="179">
        <f>InpActive!F12</f>
        <v>79.37</v>
      </c>
      <c r="G8" s="180" t="s">
        <v>171</v>
      </c>
      <c r="H8" s="180"/>
    </row>
    <row r="9" spans="1:8" s="22" customFormat="1" x14ac:dyDescent="0.2">
      <c r="C9" s="178"/>
      <c r="E9" s="22" t="s">
        <v>116</v>
      </c>
      <c r="F9" s="179">
        <f>InpActive!F17</f>
        <v>79.33</v>
      </c>
      <c r="G9" s="180" t="s">
        <v>171</v>
      </c>
      <c r="H9" s="180"/>
    </row>
    <row r="10" spans="1:8" s="22" customFormat="1" x14ac:dyDescent="0.2">
      <c r="C10" s="178"/>
      <c r="E10" s="22" t="s">
        <v>118</v>
      </c>
      <c r="F10" s="179">
        <f>InpActive!F22</f>
        <v>73.94</v>
      </c>
      <c r="G10" s="180" t="s">
        <v>171</v>
      </c>
      <c r="H10" s="180"/>
    </row>
    <row r="11" spans="1:8" s="22" customFormat="1" x14ac:dyDescent="0.2">
      <c r="C11" s="178"/>
      <c r="E11" s="22" t="s">
        <v>120</v>
      </c>
      <c r="F11" s="179">
        <f>InpActive!F27</f>
        <v>81.67</v>
      </c>
      <c r="G11" s="180" t="s">
        <v>171</v>
      </c>
      <c r="H11" s="180"/>
    </row>
    <row r="12" spans="1:8" s="22" customFormat="1" x14ac:dyDescent="0.2">
      <c r="C12" s="178"/>
      <c r="E12" s="22" t="s">
        <v>122</v>
      </c>
      <c r="F12" s="179">
        <f>InpActive!F32</f>
        <v>84.04</v>
      </c>
      <c r="G12" s="180" t="s">
        <v>171</v>
      </c>
      <c r="H12" s="180"/>
    </row>
    <row r="13" spans="1:8" s="22" customFormat="1" x14ac:dyDescent="0.2">
      <c r="C13" s="178"/>
      <c r="E13" s="22" t="s">
        <v>124</v>
      </c>
      <c r="F13" s="179">
        <f>InpActive!F37</f>
        <v>84.89</v>
      </c>
      <c r="G13" s="180" t="s">
        <v>171</v>
      </c>
      <c r="H13" s="180"/>
    </row>
    <row r="14" spans="1:8" s="22" customFormat="1" x14ac:dyDescent="0.2">
      <c r="C14" s="178"/>
      <c r="E14" s="22" t="s">
        <v>126</v>
      </c>
      <c r="F14" s="179">
        <f>InpActive!F42</f>
        <v>74.55</v>
      </c>
      <c r="G14" s="180" t="s">
        <v>171</v>
      </c>
      <c r="H14" s="180"/>
    </row>
    <row r="15" spans="1:8" s="22" customFormat="1" x14ac:dyDescent="0.2">
      <c r="C15" s="178"/>
      <c r="E15" s="22" t="s">
        <v>128</v>
      </c>
      <c r="F15" s="179">
        <f>InpActive!F47</f>
        <v>84.36</v>
      </c>
      <c r="G15" s="180" t="s">
        <v>171</v>
      </c>
      <c r="H15" s="180"/>
    </row>
    <row r="16" spans="1:8" s="22" customFormat="1" x14ac:dyDescent="0.2">
      <c r="C16" s="178"/>
      <c r="E16" s="22" t="s">
        <v>130</v>
      </c>
      <c r="F16" s="179">
        <f>InpActive!F52</f>
        <v>68.319999999999993</v>
      </c>
      <c r="G16" s="180" t="s">
        <v>171</v>
      </c>
      <c r="H16" s="180"/>
    </row>
    <row r="17" spans="1:8" s="22" customFormat="1" x14ac:dyDescent="0.2">
      <c r="C17" s="178"/>
      <c r="E17" s="22" t="s">
        <v>132</v>
      </c>
      <c r="F17" s="179">
        <f>InpActive!F57</f>
        <v>77.819999999999993</v>
      </c>
      <c r="G17" s="180" t="s">
        <v>171</v>
      </c>
      <c r="H17" s="180"/>
    </row>
    <row r="18" spans="1:8" s="22" customFormat="1" x14ac:dyDescent="0.2">
      <c r="C18" s="178"/>
      <c r="E18" s="22" t="s">
        <v>134</v>
      </c>
      <c r="F18" s="179">
        <f>InpActive!F62</f>
        <v>80.959999999999994</v>
      </c>
      <c r="G18" s="180" t="s">
        <v>171</v>
      </c>
      <c r="H18" s="180"/>
    </row>
    <row r="19" spans="1:8" s="22" customFormat="1" x14ac:dyDescent="0.2">
      <c r="C19" s="178"/>
      <c r="E19" s="22" t="s">
        <v>136</v>
      </c>
      <c r="F19" s="179">
        <f>InpActive!F67</f>
        <v>68.959999999999994</v>
      </c>
      <c r="G19" s="180" t="s">
        <v>171</v>
      </c>
      <c r="H19" s="180"/>
    </row>
    <row r="20" spans="1:8" s="22" customFormat="1" x14ac:dyDescent="0.2">
      <c r="C20" s="178"/>
      <c r="E20" s="22" t="s">
        <v>138</v>
      </c>
      <c r="F20" s="179">
        <f>InpActive!F72</f>
        <v>65.22</v>
      </c>
      <c r="G20" s="180" t="s">
        <v>171</v>
      </c>
      <c r="H20" s="180"/>
    </row>
    <row r="21" spans="1:8" s="22" customFormat="1" x14ac:dyDescent="0.2">
      <c r="C21" s="178"/>
      <c r="E21" s="22" t="s">
        <v>140</v>
      </c>
      <c r="F21" s="179">
        <f>InpActive!F77</f>
        <v>83.13</v>
      </c>
      <c r="G21" s="180" t="s">
        <v>171</v>
      </c>
      <c r="H21" s="180"/>
    </row>
    <row r="22" spans="1:8" s="22" customFormat="1" x14ac:dyDescent="0.2">
      <c r="C22" s="178"/>
      <c r="E22" s="22" t="s">
        <v>142</v>
      </c>
      <c r="F22" s="179">
        <f>InpActive!F82</f>
        <v>80.12</v>
      </c>
      <c r="G22" s="180" t="s">
        <v>171</v>
      </c>
      <c r="H22" s="180"/>
    </row>
    <row r="23" spans="1:8" s="22" customFormat="1" x14ac:dyDescent="0.2">
      <c r="C23" s="178"/>
      <c r="E23" s="22" t="s">
        <v>144</v>
      </c>
      <c r="F23" s="179">
        <f>InpActive!F87</f>
        <v>64.5</v>
      </c>
      <c r="G23" s="180" t="s">
        <v>171</v>
      </c>
      <c r="H23" s="180"/>
    </row>
    <row r="24" spans="1:8" ht="15.75" x14ac:dyDescent="0.3">
      <c r="A24" s="9"/>
      <c r="G24" s="8"/>
    </row>
    <row r="25" spans="1:8" x14ac:dyDescent="0.2">
      <c r="B25" s="10" t="s">
        <v>182</v>
      </c>
      <c r="G25" s="8"/>
    </row>
    <row r="26" spans="1:8" x14ac:dyDescent="0.2">
      <c r="C26" s="11" t="s">
        <v>181</v>
      </c>
      <c r="G26" s="8"/>
    </row>
    <row r="27" spans="1:8" s="22" customFormat="1" x14ac:dyDescent="0.2">
      <c r="C27" s="178"/>
      <c r="E27" s="22" t="s">
        <v>112</v>
      </c>
      <c r="F27" s="179">
        <f>InpActive!F8</f>
        <v>100</v>
      </c>
      <c r="G27" s="180" t="s">
        <v>171</v>
      </c>
      <c r="H27" s="180"/>
    </row>
    <row r="28" spans="1:8" s="22" customFormat="1" x14ac:dyDescent="0.2">
      <c r="C28" s="178"/>
      <c r="E28" s="22" t="s">
        <v>114</v>
      </c>
      <c r="F28" s="179">
        <f>InpActive!F13</f>
        <v>99.98</v>
      </c>
      <c r="G28" s="180" t="s">
        <v>171</v>
      </c>
      <c r="H28" s="180"/>
    </row>
    <row r="29" spans="1:8" s="22" customFormat="1" x14ac:dyDescent="0.2">
      <c r="C29" s="178"/>
      <c r="E29" s="22" t="s">
        <v>116</v>
      </c>
      <c r="F29" s="179">
        <f>InpActive!F18</f>
        <v>99.93</v>
      </c>
      <c r="G29" s="180" t="s">
        <v>171</v>
      </c>
      <c r="H29" s="180"/>
    </row>
    <row r="30" spans="1:8" s="22" customFormat="1" x14ac:dyDescent="0.2">
      <c r="C30" s="178"/>
      <c r="E30" s="22" t="s">
        <v>118</v>
      </c>
      <c r="F30" s="179">
        <f>InpActive!F23</f>
        <v>100</v>
      </c>
      <c r="G30" s="180" t="s">
        <v>171</v>
      </c>
      <c r="H30" s="180"/>
    </row>
    <row r="31" spans="1:8" s="22" customFormat="1" x14ac:dyDescent="0.2">
      <c r="C31" s="178"/>
      <c r="E31" s="22" t="s">
        <v>120</v>
      </c>
      <c r="F31" s="179">
        <f>InpActive!F28</f>
        <v>100</v>
      </c>
      <c r="G31" s="180" t="s">
        <v>171</v>
      </c>
      <c r="H31" s="180"/>
    </row>
    <row r="32" spans="1:8" s="22" customFormat="1" x14ac:dyDescent="0.2">
      <c r="C32" s="178"/>
      <c r="E32" s="22" t="s">
        <v>122</v>
      </c>
      <c r="F32" s="179">
        <f>InpActive!F33</f>
        <v>99.78</v>
      </c>
      <c r="G32" s="180" t="s">
        <v>171</v>
      </c>
      <c r="H32" s="180"/>
    </row>
    <row r="33" spans="1:8" s="22" customFormat="1" x14ac:dyDescent="0.2">
      <c r="C33" s="178"/>
      <c r="E33" s="22" t="s">
        <v>124</v>
      </c>
      <c r="F33" s="179">
        <f>InpActive!F38</f>
        <v>100</v>
      </c>
      <c r="G33" s="180" t="s">
        <v>171</v>
      </c>
      <c r="H33" s="180"/>
    </row>
    <row r="34" spans="1:8" s="22" customFormat="1" x14ac:dyDescent="0.2">
      <c r="C34" s="178"/>
      <c r="E34" s="22" t="s">
        <v>126</v>
      </c>
      <c r="F34" s="179">
        <f>InpActive!F43</f>
        <v>99.79</v>
      </c>
      <c r="G34" s="180" t="s">
        <v>171</v>
      </c>
      <c r="H34" s="180"/>
    </row>
    <row r="35" spans="1:8" s="22" customFormat="1" x14ac:dyDescent="0.2">
      <c r="C35" s="178"/>
      <c r="E35" s="22" t="s">
        <v>128</v>
      </c>
      <c r="F35" s="179">
        <f>InpActive!F48</f>
        <v>99.96</v>
      </c>
      <c r="G35" s="180" t="s">
        <v>171</v>
      </c>
      <c r="H35" s="180"/>
    </row>
    <row r="36" spans="1:8" s="22" customFormat="1" x14ac:dyDescent="0.2">
      <c r="C36" s="178"/>
      <c r="E36" s="22" t="s">
        <v>130</v>
      </c>
      <c r="F36" s="179">
        <f>InpActive!F53</f>
        <v>98.79</v>
      </c>
      <c r="G36" s="180" t="s">
        <v>171</v>
      </c>
      <c r="H36" s="180"/>
    </row>
    <row r="37" spans="1:8" s="22" customFormat="1" x14ac:dyDescent="0.2">
      <c r="C37" s="178"/>
      <c r="E37" s="22" t="s">
        <v>132</v>
      </c>
      <c r="F37" s="179">
        <f>InpActive!F58</f>
        <v>98.25</v>
      </c>
      <c r="G37" s="180" t="s">
        <v>171</v>
      </c>
      <c r="H37" s="180"/>
    </row>
    <row r="38" spans="1:8" s="22" customFormat="1" x14ac:dyDescent="0.2">
      <c r="C38" s="178"/>
      <c r="E38" s="22" t="s">
        <v>134</v>
      </c>
      <c r="F38" s="179">
        <f>InpActive!F63</f>
        <v>99.89</v>
      </c>
      <c r="G38" s="180" t="s">
        <v>171</v>
      </c>
      <c r="H38" s="180"/>
    </row>
    <row r="39" spans="1:8" s="22" customFormat="1" x14ac:dyDescent="0.2">
      <c r="C39" s="178"/>
      <c r="E39" s="22" t="s">
        <v>136</v>
      </c>
      <c r="F39" s="179">
        <f>InpActive!F68</f>
        <v>98.53</v>
      </c>
      <c r="G39" s="180" t="s">
        <v>171</v>
      </c>
      <c r="H39" s="180"/>
    </row>
    <row r="40" spans="1:8" s="22" customFormat="1" x14ac:dyDescent="0.2">
      <c r="C40" s="178"/>
      <c r="E40" s="22" t="s">
        <v>138</v>
      </c>
      <c r="F40" s="179">
        <f>InpActive!F73</f>
        <v>94.53</v>
      </c>
      <c r="G40" s="180" t="s">
        <v>171</v>
      </c>
      <c r="H40" s="180"/>
    </row>
    <row r="41" spans="1:8" s="22" customFormat="1" x14ac:dyDescent="0.2">
      <c r="C41" s="178"/>
      <c r="E41" s="22" t="s">
        <v>140</v>
      </c>
      <c r="F41" s="179">
        <f>InpActive!F78</f>
        <v>99.9</v>
      </c>
      <c r="G41" s="180" t="s">
        <v>171</v>
      </c>
      <c r="H41" s="180"/>
    </row>
    <row r="42" spans="1:8" s="22" customFormat="1" x14ac:dyDescent="0.2">
      <c r="C42" s="178"/>
      <c r="E42" s="22" t="s">
        <v>142</v>
      </c>
      <c r="F42" s="179">
        <f>InpActive!F83</f>
        <v>99.87</v>
      </c>
      <c r="G42" s="180" t="s">
        <v>171</v>
      </c>
      <c r="H42" s="180"/>
    </row>
    <row r="43" spans="1:8" s="22" customFormat="1" x14ac:dyDescent="0.2">
      <c r="C43" s="178"/>
      <c r="E43" s="22" t="s">
        <v>144</v>
      </c>
      <c r="F43" s="179">
        <f>InpActive!F88</f>
        <v>99.89</v>
      </c>
      <c r="G43" s="180" t="s">
        <v>171</v>
      </c>
      <c r="H43" s="180"/>
    </row>
    <row r="44" spans="1:8" x14ac:dyDescent="0.2">
      <c r="C44" s="11"/>
      <c r="G44" s="13"/>
      <c r="H44" s="14"/>
    </row>
    <row r="45" spans="1:8" s="1" customFormat="1" ht="13.5" x14ac:dyDescent="0.25">
      <c r="A45" s="1" t="s">
        <v>183</v>
      </c>
    </row>
    <row r="47" spans="1:8" ht="15.75" x14ac:dyDescent="0.3">
      <c r="A47" s="9"/>
      <c r="B47" s="10" t="s">
        <v>184</v>
      </c>
      <c r="G47" s="8"/>
    </row>
    <row r="48" spans="1:8" x14ac:dyDescent="0.2">
      <c r="C48" s="11" t="s">
        <v>185</v>
      </c>
      <c r="G48" s="8"/>
    </row>
    <row r="49" spans="3:8" s="22" customFormat="1" x14ac:dyDescent="0.2">
      <c r="C49" s="178"/>
      <c r="E49" s="22" t="s">
        <v>112</v>
      </c>
      <c r="F49" s="179">
        <f>InpActive!F10</f>
        <v>13.98</v>
      </c>
      <c r="G49" s="22" t="s">
        <v>186</v>
      </c>
      <c r="H49" s="180"/>
    </row>
    <row r="50" spans="3:8" s="22" customFormat="1" x14ac:dyDescent="0.2">
      <c r="E50" s="22" t="s">
        <v>114</v>
      </c>
      <c r="F50" s="179">
        <f>InpActive!F15</f>
        <v>34.963999999999999</v>
      </c>
      <c r="G50" s="22" t="s">
        <v>186</v>
      </c>
      <c r="H50" s="180"/>
    </row>
    <row r="51" spans="3:8" s="22" customFormat="1" x14ac:dyDescent="0.2">
      <c r="E51" s="22" t="s">
        <v>116</v>
      </c>
      <c r="F51" s="179">
        <f>InpActive!F20</f>
        <v>3.22</v>
      </c>
      <c r="G51" s="22" t="s">
        <v>186</v>
      </c>
      <c r="H51" s="180"/>
    </row>
    <row r="52" spans="3:8" s="22" customFormat="1" x14ac:dyDescent="0.2">
      <c r="E52" s="22" t="s">
        <v>118</v>
      </c>
      <c r="F52" s="179">
        <f>InpActive!F25</f>
        <v>30.189</v>
      </c>
      <c r="G52" s="22" t="s">
        <v>186</v>
      </c>
      <c r="H52" s="180"/>
    </row>
    <row r="53" spans="3:8" s="22" customFormat="1" x14ac:dyDescent="0.2">
      <c r="E53" s="22" t="s">
        <v>120</v>
      </c>
      <c r="F53" s="179">
        <f>InpActive!F30</f>
        <v>0.72899999999999998</v>
      </c>
      <c r="G53" s="22" t="s">
        <v>186</v>
      </c>
      <c r="H53" s="180"/>
    </row>
    <row r="54" spans="3:8" s="22" customFormat="1" x14ac:dyDescent="0.2">
      <c r="E54" s="22" t="s">
        <v>122</v>
      </c>
      <c r="F54" s="179">
        <f>InpActive!F35</f>
        <v>14.170999999999999</v>
      </c>
      <c r="G54" s="22" t="s">
        <v>186</v>
      </c>
      <c r="H54" s="180"/>
    </row>
    <row r="55" spans="3:8" s="22" customFormat="1" x14ac:dyDescent="0.2">
      <c r="E55" s="22" t="s">
        <v>124</v>
      </c>
      <c r="F55" s="179">
        <f>InpActive!F40</f>
        <v>2.198</v>
      </c>
      <c r="G55" s="22" t="s">
        <v>186</v>
      </c>
      <c r="H55" s="180"/>
    </row>
    <row r="56" spans="3:8" s="22" customFormat="1" x14ac:dyDescent="0.2">
      <c r="E56" s="22" t="s">
        <v>126</v>
      </c>
      <c r="F56" s="179">
        <f>InpActive!F45</f>
        <v>3.2919999999999998</v>
      </c>
      <c r="G56" s="22" t="s">
        <v>186</v>
      </c>
      <c r="H56" s="180"/>
    </row>
    <row r="57" spans="3:8" s="22" customFormat="1" x14ac:dyDescent="0.2">
      <c r="E57" s="22" t="s">
        <v>128</v>
      </c>
      <c r="F57" s="179">
        <f>InpActive!F50</f>
        <v>45.436</v>
      </c>
      <c r="G57" s="22" t="s">
        <v>186</v>
      </c>
      <c r="H57" s="180"/>
    </row>
    <row r="58" spans="3:8" s="22" customFormat="1" x14ac:dyDescent="0.2">
      <c r="E58" s="22" t="s">
        <v>130</v>
      </c>
      <c r="F58" s="179">
        <f>InpActive!F55</f>
        <v>10.955</v>
      </c>
      <c r="G58" s="22" t="s">
        <v>186</v>
      </c>
      <c r="H58" s="180"/>
    </row>
    <row r="59" spans="3:8" s="22" customFormat="1" x14ac:dyDescent="0.2">
      <c r="E59" s="22" t="s">
        <v>132</v>
      </c>
      <c r="F59" s="179">
        <f>InpActive!F60</f>
        <v>13.444000000000001</v>
      </c>
      <c r="G59" s="22" t="s">
        <v>186</v>
      </c>
      <c r="H59" s="180"/>
    </row>
    <row r="60" spans="3:8" s="22" customFormat="1" x14ac:dyDescent="0.2">
      <c r="E60" s="22" t="s">
        <v>134</v>
      </c>
      <c r="F60" s="179">
        <f>InpActive!F65</f>
        <v>9.9640000000000004</v>
      </c>
      <c r="G60" s="22" t="s">
        <v>186</v>
      </c>
      <c r="H60" s="180"/>
    </row>
    <row r="61" spans="3:8" s="22" customFormat="1" x14ac:dyDescent="0.2">
      <c r="E61" s="22" t="s">
        <v>136</v>
      </c>
      <c r="F61" s="179">
        <f>InpActive!F70</f>
        <v>12.993</v>
      </c>
      <c r="G61" s="22" t="s">
        <v>186</v>
      </c>
      <c r="H61" s="180"/>
    </row>
    <row r="62" spans="3:8" s="22" customFormat="1" x14ac:dyDescent="0.2">
      <c r="E62" s="22" t="s">
        <v>138</v>
      </c>
      <c r="F62" s="179">
        <f>InpActive!F75</f>
        <v>39.652999999999999</v>
      </c>
      <c r="G62" s="22" t="s">
        <v>186</v>
      </c>
      <c r="H62" s="180"/>
    </row>
    <row r="63" spans="3:8" s="22" customFormat="1" x14ac:dyDescent="0.2">
      <c r="E63" s="22" t="s">
        <v>140</v>
      </c>
      <c r="F63" s="179">
        <f>InpActive!F80</f>
        <v>25.274815780407987</v>
      </c>
      <c r="G63" s="22" t="s">
        <v>186</v>
      </c>
      <c r="H63" s="180"/>
    </row>
    <row r="64" spans="3:8" s="22" customFormat="1" x14ac:dyDescent="0.2">
      <c r="E64" s="22" t="s">
        <v>142</v>
      </c>
      <c r="F64" s="179">
        <f>InpActive!F85</f>
        <v>4.26</v>
      </c>
      <c r="G64" s="22" t="s">
        <v>186</v>
      </c>
      <c r="H64" s="180"/>
    </row>
    <row r="65" spans="1:8" s="22" customFormat="1" x14ac:dyDescent="0.2">
      <c r="E65" s="22" t="s">
        <v>144</v>
      </c>
      <c r="F65" s="179">
        <f>InpActive!F90</f>
        <v>12.087</v>
      </c>
      <c r="G65" s="22" t="s">
        <v>186</v>
      </c>
      <c r="H65" s="180"/>
    </row>
    <row r="67" spans="1:8" ht="15.75" x14ac:dyDescent="0.3">
      <c r="A67" s="9"/>
      <c r="B67" s="10" t="s">
        <v>187</v>
      </c>
      <c r="G67" s="8"/>
    </row>
    <row r="68" spans="1:8" x14ac:dyDescent="0.2">
      <c r="C68" s="11" t="s">
        <v>188</v>
      </c>
      <c r="G68" s="8"/>
    </row>
    <row r="69" spans="1:8" s="22" customFormat="1" x14ac:dyDescent="0.2">
      <c r="C69" s="178"/>
      <c r="E69" s="22" t="s">
        <v>112</v>
      </c>
      <c r="F69" s="179">
        <f>InpActive!F11</f>
        <v>0</v>
      </c>
      <c r="G69" s="22" t="s">
        <v>186</v>
      </c>
      <c r="H69" s="180"/>
    </row>
    <row r="70" spans="1:8" s="22" customFormat="1" x14ac:dyDescent="0.2">
      <c r="E70" s="22" t="s">
        <v>114</v>
      </c>
      <c r="F70" s="179">
        <f>InpActive!F16</f>
        <v>20.181000000000001</v>
      </c>
      <c r="G70" s="22" t="s">
        <v>186</v>
      </c>
      <c r="H70" s="180"/>
    </row>
    <row r="71" spans="1:8" s="22" customFormat="1" x14ac:dyDescent="0.2">
      <c r="E71" s="22" t="s">
        <v>116</v>
      </c>
      <c r="F71" s="179" t="str">
        <f>InpActive!F21</f>
        <v>See RAG guidance</v>
      </c>
      <c r="G71" s="22" t="s">
        <v>186</v>
      </c>
      <c r="H71" s="180"/>
    </row>
    <row r="72" spans="1:8" s="22" customFormat="1" x14ac:dyDescent="0.2">
      <c r="E72" s="22" t="s">
        <v>118</v>
      </c>
      <c r="F72" s="179">
        <f>InpActive!F26</f>
        <v>6.4349999999999996</v>
      </c>
      <c r="G72" s="22" t="s">
        <v>186</v>
      </c>
      <c r="H72" s="180"/>
    </row>
    <row r="73" spans="1:8" s="22" customFormat="1" x14ac:dyDescent="0.2">
      <c r="E73" s="22" t="s">
        <v>120</v>
      </c>
      <c r="F73" s="179">
        <f>InpActive!F31</f>
        <v>0.13800000000000001</v>
      </c>
      <c r="G73" s="22" t="s">
        <v>186</v>
      </c>
      <c r="H73" s="180"/>
    </row>
    <row r="74" spans="1:8" s="22" customFormat="1" x14ac:dyDescent="0.2">
      <c r="E74" s="22" t="s">
        <v>122</v>
      </c>
      <c r="F74" s="179">
        <f>InpActive!F36</f>
        <v>1.9330000000000001</v>
      </c>
      <c r="G74" s="22" t="s">
        <v>186</v>
      </c>
      <c r="H74" s="180"/>
    </row>
    <row r="75" spans="1:8" s="22" customFormat="1" x14ac:dyDescent="0.2">
      <c r="E75" s="22" t="s">
        <v>124</v>
      </c>
      <c r="F75" s="179">
        <f>InpActive!F41</f>
        <v>0</v>
      </c>
      <c r="G75" s="22" t="s">
        <v>186</v>
      </c>
      <c r="H75" s="180"/>
    </row>
    <row r="76" spans="1:8" s="22" customFormat="1" x14ac:dyDescent="0.2">
      <c r="E76" s="22" t="s">
        <v>126</v>
      </c>
      <c r="F76" s="179">
        <f>InpActive!F46</f>
        <v>0</v>
      </c>
      <c r="G76" s="22" t="s">
        <v>186</v>
      </c>
      <c r="H76" s="180"/>
    </row>
    <row r="77" spans="1:8" s="22" customFormat="1" x14ac:dyDescent="0.2">
      <c r="E77" s="22" t="s">
        <v>128</v>
      </c>
      <c r="F77" s="179">
        <f>InpActive!F51</f>
        <v>20.873000000000001</v>
      </c>
      <c r="G77" s="22" t="s">
        <v>186</v>
      </c>
      <c r="H77" s="180"/>
    </row>
    <row r="78" spans="1:8" s="22" customFormat="1" x14ac:dyDescent="0.2">
      <c r="E78" s="22" t="s">
        <v>130</v>
      </c>
      <c r="F78" s="179">
        <f>InpActive!F56</f>
        <v>0</v>
      </c>
      <c r="G78" s="22" t="s">
        <v>186</v>
      </c>
      <c r="H78" s="180"/>
    </row>
    <row r="79" spans="1:8" s="22" customFormat="1" x14ac:dyDescent="0.2">
      <c r="E79" s="22" t="s">
        <v>132</v>
      </c>
      <c r="F79" s="179">
        <f>InpActive!F61</f>
        <v>0</v>
      </c>
      <c r="G79" s="22" t="s">
        <v>186</v>
      </c>
      <c r="H79" s="180"/>
    </row>
    <row r="80" spans="1:8" s="22" customFormat="1" x14ac:dyDescent="0.2">
      <c r="E80" s="22" t="s">
        <v>134</v>
      </c>
      <c r="F80" s="179">
        <f>InpActive!F66</f>
        <v>6.3680000000000003</v>
      </c>
      <c r="G80" s="22" t="s">
        <v>186</v>
      </c>
      <c r="H80" s="180"/>
    </row>
    <row r="81" spans="1:26" s="22" customFormat="1" x14ac:dyDescent="0.2">
      <c r="E81" s="22" t="s">
        <v>136</v>
      </c>
      <c r="F81" s="179">
        <f>InpActive!F71</f>
        <v>16.582999999999998</v>
      </c>
      <c r="G81" s="22" t="s">
        <v>186</v>
      </c>
      <c r="H81" s="180"/>
    </row>
    <row r="82" spans="1:26" s="22" customFormat="1" x14ac:dyDescent="0.2">
      <c r="E82" s="22" t="s">
        <v>138</v>
      </c>
      <c r="F82" s="179">
        <f>InpActive!F76</f>
        <v>17.271000000000001</v>
      </c>
      <c r="G82" s="22" t="s">
        <v>186</v>
      </c>
      <c r="H82" s="180"/>
    </row>
    <row r="83" spans="1:26" s="22" customFormat="1" x14ac:dyDescent="0.2">
      <c r="E83" s="22" t="s">
        <v>140</v>
      </c>
      <c r="F83" s="179">
        <f>InpActive!F81</f>
        <v>8.1722908700000012</v>
      </c>
      <c r="G83" s="22" t="s">
        <v>186</v>
      </c>
      <c r="H83" s="180"/>
    </row>
    <row r="84" spans="1:26" s="22" customFormat="1" x14ac:dyDescent="0.2">
      <c r="E84" s="22" t="s">
        <v>142</v>
      </c>
      <c r="F84" s="179">
        <f>InpActive!F86</f>
        <v>4.4340000000000002</v>
      </c>
      <c r="G84" s="22" t="s">
        <v>186</v>
      </c>
      <c r="H84" s="180"/>
    </row>
    <row r="85" spans="1:26" s="22" customFormat="1" x14ac:dyDescent="0.2">
      <c r="E85" s="22" t="s">
        <v>144</v>
      </c>
      <c r="F85" s="179">
        <f>InpActive!F91</f>
        <v>10.397</v>
      </c>
      <c r="G85" s="22" t="s">
        <v>186</v>
      </c>
      <c r="H85" s="180"/>
    </row>
    <row r="87" spans="1:26" s="1" customFormat="1" ht="13.5" x14ac:dyDescent="0.25">
      <c r="A87" s="1" t="s">
        <v>189</v>
      </c>
    </row>
    <row r="89" spans="1:26" s="30" customFormat="1" x14ac:dyDescent="0.2">
      <c r="E89" s="30" t="s">
        <v>190</v>
      </c>
      <c r="G89" s="30" t="s">
        <v>191</v>
      </c>
      <c r="J89" s="30" t="str">
        <f>Inputs!E7</f>
        <v>Affinity Water</v>
      </c>
      <c r="K89" s="30" t="str">
        <f>Inputs!E8</f>
        <v>Anglian Water</v>
      </c>
      <c r="L89" s="30" t="str">
        <f>Inputs!E9</f>
        <v>Bristol Water</v>
      </c>
      <c r="M89" s="30" t="str">
        <f>Inputs!E10</f>
        <v>Dŵr Cymru</v>
      </c>
      <c r="N89" s="30" t="str">
        <f>Inputs!E11</f>
        <v>Hafren Dyfrdwy</v>
      </c>
      <c r="O89" s="30" t="str">
        <f>Inputs!E12</f>
        <v>Northumbrian Water</v>
      </c>
      <c r="P89" s="30" t="str">
        <f>Inputs!E13</f>
        <v>Portsmouth Water</v>
      </c>
      <c r="Q89" s="30" t="str">
        <f>Inputs!E14</f>
        <v>SES Water</v>
      </c>
      <c r="R89" s="30" t="str">
        <f>Inputs!E15</f>
        <v>Severn Trent Water</v>
      </c>
      <c r="S89" s="30" t="str">
        <f>Inputs!E16</f>
        <v>South East Water</v>
      </c>
      <c r="T89" s="30" t="str">
        <f>Inputs!E17</f>
        <v>South Staffs Water</v>
      </c>
      <c r="U89" s="30" t="str">
        <f>Inputs!E18</f>
        <v>South West Water</v>
      </c>
      <c r="V89" s="30" t="str">
        <f>Inputs!E19</f>
        <v>Southern Water</v>
      </c>
      <c r="W89" s="30" t="str">
        <f>Inputs!E20</f>
        <v>Thames Water</v>
      </c>
      <c r="X89" s="30" t="str">
        <f>Inputs!E21</f>
        <v>United Utilities</v>
      </c>
      <c r="Y89" s="30" t="str">
        <f>Inputs!E22</f>
        <v>Wessex Water</v>
      </c>
      <c r="Z89" s="30" t="str">
        <f>Inputs!E23</f>
        <v>Yorkshire Water</v>
      </c>
    </row>
    <row r="90" spans="1:26" s="30" customFormat="1" x14ac:dyDescent="0.2">
      <c r="E90" s="30" t="s">
        <v>192</v>
      </c>
      <c r="G90" s="30" t="s">
        <v>171</v>
      </c>
      <c r="J90" s="38">
        <f>INDEX($F$7:$F$23,MATCH(J$89,$E$7:$E$23,0))</f>
        <v>79.010000000000005</v>
      </c>
      <c r="K90" s="38">
        <f t="shared" ref="K90:Z90" si="0">INDEX($F$7:$F$23,MATCH(K$89,$E$7:$E$23,0))</f>
        <v>79.37</v>
      </c>
      <c r="L90" s="38">
        <f t="shared" si="0"/>
        <v>79.33</v>
      </c>
      <c r="M90" s="38">
        <f t="shared" si="0"/>
        <v>73.94</v>
      </c>
      <c r="N90" s="38">
        <f t="shared" si="0"/>
        <v>81.67</v>
      </c>
      <c r="O90" s="38">
        <f t="shared" si="0"/>
        <v>84.04</v>
      </c>
      <c r="P90" s="38">
        <f t="shared" si="0"/>
        <v>84.89</v>
      </c>
      <c r="Q90" s="38">
        <f t="shared" si="0"/>
        <v>74.55</v>
      </c>
      <c r="R90" s="38">
        <f t="shared" si="0"/>
        <v>84.36</v>
      </c>
      <c r="S90" s="38">
        <f t="shared" si="0"/>
        <v>68.319999999999993</v>
      </c>
      <c r="T90" s="38">
        <f t="shared" si="0"/>
        <v>77.819999999999993</v>
      </c>
      <c r="U90" s="38">
        <f t="shared" si="0"/>
        <v>80.959999999999994</v>
      </c>
      <c r="V90" s="38">
        <f t="shared" si="0"/>
        <v>68.959999999999994</v>
      </c>
      <c r="W90" s="38">
        <f t="shared" si="0"/>
        <v>65.22</v>
      </c>
      <c r="X90" s="38">
        <f t="shared" si="0"/>
        <v>83.13</v>
      </c>
      <c r="Y90" s="38">
        <f t="shared" si="0"/>
        <v>80.12</v>
      </c>
      <c r="Z90" s="38">
        <f t="shared" si="0"/>
        <v>64.5</v>
      </c>
    </row>
    <row r="91" spans="1:26" s="30" customFormat="1" x14ac:dyDescent="0.2">
      <c r="E91" s="30" t="s">
        <v>193</v>
      </c>
      <c r="G91" s="30" t="s">
        <v>171</v>
      </c>
      <c r="J91" s="38">
        <f t="shared" ref="J91:Y91" si="1">INDEX($F$27:$F$43,MATCH(J$89,$E$27:$E$43,0))</f>
        <v>100</v>
      </c>
      <c r="K91" s="38">
        <f t="shared" si="1"/>
        <v>99.98</v>
      </c>
      <c r="L91" s="38">
        <f t="shared" si="1"/>
        <v>99.93</v>
      </c>
      <c r="M91" s="38">
        <f t="shared" si="1"/>
        <v>100</v>
      </c>
      <c r="N91" s="38">
        <f t="shared" si="1"/>
        <v>100</v>
      </c>
      <c r="O91" s="38">
        <f t="shared" si="1"/>
        <v>99.78</v>
      </c>
      <c r="P91" s="38">
        <f t="shared" si="1"/>
        <v>100</v>
      </c>
      <c r="Q91" s="38">
        <f t="shared" si="1"/>
        <v>99.79</v>
      </c>
      <c r="R91" s="38">
        <f t="shared" si="1"/>
        <v>99.96</v>
      </c>
      <c r="S91" s="38">
        <f t="shared" si="1"/>
        <v>98.79</v>
      </c>
      <c r="T91" s="38">
        <f t="shared" si="1"/>
        <v>98.25</v>
      </c>
      <c r="U91" s="38">
        <f t="shared" si="1"/>
        <v>99.89</v>
      </c>
      <c r="V91" s="38">
        <f t="shared" si="1"/>
        <v>98.53</v>
      </c>
      <c r="W91" s="38">
        <f t="shared" si="1"/>
        <v>94.53</v>
      </c>
      <c r="X91" s="38">
        <f t="shared" si="1"/>
        <v>99.9</v>
      </c>
      <c r="Y91" s="38">
        <f t="shared" si="1"/>
        <v>99.87</v>
      </c>
      <c r="Z91" s="38">
        <f>INDEX($F$27:$F$43,MATCH(Z$89,$E$27:$E$43,0))</f>
        <v>99.89</v>
      </c>
    </row>
    <row r="92" spans="1:26" s="30" customFormat="1" x14ac:dyDescent="0.2">
      <c r="E92" s="30" t="s">
        <v>194</v>
      </c>
      <c r="G92" s="30" t="s">
        <v>186</v>
      </c>
      <c r="J92" s="37">
        <f>INDEX($F$49:$F$65,MATCH(J$89,$E$49:$E$65,0))</f>
        <v>13.98</v>
      </c>
      <c r="K92" s="37">
        <f t="shared" ref="K92:Y92" si="2">INDEX($F$49:$F$65,MATCH(K$89,$E$49:$E$65,0))</f>
        <v>34.963999999999999</v>
      </c>
      <c r="L92" s="37">
        <f t="shared" si="2"/>
        <v>3.22</v>
      </c>
      <c r="M92" s="37">
        <f t="shared" si="2"/>
        <v>30.189</v>
      </c>
      <c r="N92" s="37">
        <f t="shared" si="2"/>
        <v>0.72899999999999998</v>
      </c>
      <c r="O92" s="37">
        <f t="shared" si="2"/>
        <v>14.170999999999999</v>
      </c>
      <c r="P92" s="37">
        <f t="shared" si="2"/>
        <v>2.198</v>
      </c>
      <c r="Q92" s="37">
        <f t="shared" si="2"/>
        <v>3.2919999999999998</v>
      </c>
      <c r="R92" s="37">
        <f t="shared" si="2"/>
        <v>45.436</v>
      </c>
      <c r="S92" s="37">
        <f t="shared" si="2"/>
        <v>10.955</v>
      </c>
      <c r="T92" s="37">
        <f t="shared" si="2"/>
        <v>13.444000000000001</v>
      </c>
      <c r="U92" s="37">
        <f t="shared" si="2"/>
        <v>9.9640000000000004</v>
      </c>
      <c r="V92" s="37">
        <f t="shared" si="2"/>
        <v>12.993</v>
      </c>
      <c r="W92" s="37">
        <f t="shared" si="2"/>
        <v>39.652999999999999</v>
      </c>
      <c r="X92" s="37">
        <f t="shared" si="2"/>
        <v>25.274815780407987</v>
      </c>
      <c r="Y92" s="37">
        <f t="shared" si="2"/>
        <v>4.26</v>
      </c>
      <c r="Z92" s="37">
        <f>INDEX($F$49:$F$65,MATCH(Z$89,$E$49:$E$65,0))</f>
        <v>12.087</v>
      </c>
    </row>
    <row r="93" spans="1:26" s="30" customFormat="1" x14ac:dyDescent="0.2">
      <c r="E93" s="30" t="s">
        <v>195</v>
      </c>
      <c r="G93" s="30" t="s">
        <v>186</v>
      </c>
      <c r="J93" s="37">
        <f>INDEX($F$69:$F$85,MATCH(J$89,$E$69:$E$85,0))</f>
        <v>0</v>
      </c>
      <c r="K93" s="37">
        <f t="shared" ref="K93:Y93" si="3">INDEX($F$69:$F$85,MATCH(K$89,$E$69:$E$85,0))</f>
        <v>20.181000000000001</v>
      </c>
      <c r="L93" s="37" t="str">
        <f t="shared" si="3"/>
        <v>See RAG guidance</v>
      </c>
      <c r="M93" s="37">
        <f t="shared" si="3"/>
        <v>6.4349999999999996</v>
      </c>
      <c r="N93" s="37">
        <f t="shared" si="3"/>
        <v>0.13800000000000001</v>
      </c>
      <c r="O93" s="37">
        <f t="shared" si="3"/>
        <v>1.9330000000000001</v>
      </c>
      <c r="P93" s="37">
        <f t="shared" si="3"/>
        <v>0</v>
      </c>
      <c r="Q93" s="37">
        <f t="shared" si="3"/>
        <v>0</v>
      </c>
      <c r="R93" s="37">
        <f t="shared" si="3"/>
        <v>20.873000000000001</v>
      </c>
      <c r="S93" s="37">
        <f t="shared" si="3"/>
        <v>0</v>
      </c>
      <c r="T93" s="37">
        <f t="shared" si="3"/>
        <v>0</v>
      </c>
      <c r="U93" s="37">
        <f t="shared" si="3"/>
        <v>6.3680000000000003</v>
      </c>
      <c r="V93" s="37">
        <f t="shared" si="3"/>
        <v>16.582999999999998</v>
      </c>
      <c r="W93" s="37">
        <f t="shared" si="3"/>
        <v>17.271000000000001</v>
      </c>
      <c r="X93" s="37">
        <f t="shared" si="3"/>
        <v>8.1722908700000012</v>
      </c>
      <c r="Y93" s="37">
        <f t="shared" si="3"/>
        <v>4.4340000000000002</v>
      </c>
      <c r="Z93" s="37">
        <f>INDEX($F$69:$F$85,MATCH(Z$89,$E$69:$E$85,0))</f>
        <v>10.397</v>
      </c>
    </row>
    <row r="94" spans="1:26" x14ac:dyDescent="0.2">
      <c r="J94" s="17"/>
      <c r="K94" s="17"/>
      <c r="L94" s="17"/>
      <c r="M94" s="17"/>
      <c r="N94" s="17"/>
      <c r="O94" s="17"/>
      <c r="P94" s="17"/>
      <c r="Q94" s="17"/>
      <c r="R94" s="17"/>
      <c r="S94" s="17"/>
      <c r="T94" s="17"/>
      <c r="U94" s="17"/>
      <c r="V94" s="17"/>
      <c r="W94" s="17"/>
      <c r="X94" s="17"/>
      <c r="Y94" s="17"/>
      <c r="Z94" s="17"/>
    </row>
    <row r="95" spans="1:26" s="1" customFormat="1" ht="13.5" x14ac:dyDescent="0.25">
      <c r="A95" s="1" t="s">
        <v>196</v>
      </c>
    </row>
    <row r="96" spans="1:26" x14ac:dyDescent="0.2">
      <c r="G96" s="8"/>
    </row>
    <row r="97" spans="1:8" s="8" customFormat="1" ht="13.5" x14ac:dyDescent="0.25">
      <c r="A97" s="18"/>
      <c r="B97" s="20" t="s">
        <v>197</v>
      </c>
      <c r="G97" s="12"/>
      <c r="H97" s="12"/>
    </row>
    <row r="98" spans="1:8" s="8" customFormat="1" x14ac:dyDescent="0.2">
      <c r="C98" s="15"/>
      <c r="E98" s="4" t="s">
        <v>198</v>
      </c>
      <c r="F98" s="73">
        <v>0.5</v>
      </c>
      <c r="G98" s="12" t="s">
        <v>199</v>
      </c>
      <c r="H98" s="12"/>
    </row>
    <row r="99" spans="1:8" s="8" customFormat="1" x14ac:dyDescent="0.2">
      <c r="C99" s="15"/>
      <c r="E99" s="4" t="s">
        <v>200</v>
      </c>
      <c r="F99" s="73">
        <v>0.5</v>
      </c>
      <c r="G99" s="12" t="s">
        <v>199</v>
      </c>
      <c r="H99" s="12"/>
    </row>
    <row r="100" spans="1:8" s="8" customFormat="1" x14ac:dyDescent="0.2">
      <c r="C100" s="15"/>
      <c r="G100" s="12"/>
      <c r="H100" s="12"/>
    </row>
    <row r="101" spans="1:8" s="8" customFormat="1" x14ac:dyDescent="0.2">
      <c r="B101" s="21" t="s">
        <v>201</v>
      </c>
      <c r="G101" s="12"/>
      <c r="H101" s="12"/>
    </row>
    <row r="102" spans="1:8" s="8" customFormat="1" x14ac:dyDescent="0.2">
      <c r="C102" s="15"/>
      <c r="E102" s="8" t="s">
        <v>202</v>
      </c>
      <c r="F102" s="73">
        <v>0.06</v>
      </c>
      <c r="G102" s="12" t="s">
        <v>199</v>
      </c>
      <c r="H102" s="12"/>
    </row>
    <row r="103" spans="1:8" s="8" customFormat="1" x14ac:dyDescent="0.2">
      <c r="C103" s="15"/>
      <c r="E103" s="8" t="s">
        <v>203</v>
      </c>
      <c r="F103" s="73">
        <v>-0.12</v>
      </c>
      <c r="G103" s="12" t="s">
        <v>199</v>
      </c>
      <c r="H103" s="12"/>
    </row>
    <row r="104" spans="1:8" s="8" customFormat="1" x14ac:dyDescent="0.2">
      <c r="C104" s="15"/>
      <c r="G104" s="12"/>
      <c r="H104" s="12"/>
    </row>
    <row r="106" spans="1:8" s="19" customFormat="1" ht="13.5" x14ac:dyDescent="0.25">
      <c r="A106" s="19" t="s">
        <v>42</v>
      </c>
    </row>
  </sheetData>
  <dataValidations count="3">
    <dataValidation type="decimal" allowBlank="1" showInputMessage="1" showErrorMessage="1" sqref="F98:F99 F102:F103" xr:uid="{00000000-0002-0000-0200-000000000000}">
      <formula1>-1</formula1>
      <formula2>1</formula2>
    </dataValidation>
    <dataValidation type="decimal" allowBlank="1" showInputMessage="1" showErrorMessage="1" sqref="F27 F49 F69" xr:uid="{00000000-0002-0000-0200-000002000000}">
      <formula1>0</formula1>
      <formula2>10000</formula2>
    </dataValidation>
    <dataValidation type="decimal" allowBlank="1" showInputMessage="1" showErrorMessage="1" sqref="F7:F23 F28:F43 F50:F65 F70:F85" xr:uid="{00000000-0002-0000-0200-000003000000}">
      <formula1>0</formula1>
      <formula2>100</formula2>
    </dataValidation>
  </dataValidations>
  <pageMargins left="0.70866141732283472" right="0.70866141732283472" top="0.74803149606299213" bottom="0.74803149606299213" header="0.31496062992125984" footer="0.31496062992125984"/>
  <pageSetup paperSize="8" scale="68" fitToHeight="0" orientation="landscape" r:id="rId1"/>
  <headerFooter>
    <oddHeader>&amp;L&amp;F&amp;CSheet: &amp;A&amp;ROFFICIAL</oddHeader>
    <oddFooter>&amp;LPrinted on &amp;D at &amp;T&amp;CPage &amp;P of &amp;N&amp;ROfwat</oddFooter>
  </headerFooter>
  <rowBreaks count="1" manualBreakCount="1">
    <brk id="4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Validation!$B$4:$B$20</xm:f>
          </x14:formula1>
          <xm:sqref>E69:E85 E27:E43 E49:E65 E7:E23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A3F1-5A0F-4384-9A05-F5CB4F662898}">
  <sheetPr>
    <outlinePr summaryBelow="0" summaryRight="0"/>
    <pageSetUpPr fitToPage="1"/>
  </sheetPr>
  <dimension ref="A1:S40"/>
  <sheetViews>
    <sheetView showGridLines="0" zoomScale="80" zoomScaleNormal="80" workbookViewId="0"/>
  </sheetViews>
  <sheetFormatPr defaultColWidth="0" defaultRowHeight="12.75" customHeight="1" zeroHeight="1" x14ac:dyDescent="0.2"/>
  <cols>
    <col min="1" max="1" width="1.85546875" style="172" customWidth="1"/>
    <col min="2" max="2" width="1.85546875" style="173" customWidth="1"/>
    <col min="3" max="3" width="1.85546875" style="174" customWidth="1"/>
    <col min="4" max="4" width="1.85546875" style="175" customWidth="1"/>
    <col min="5" max="5" width="52.140625" style="175" customWidth="1"/>
    <col min="6" max="6" width="19.5703125" style="175" bestFit="1" customWidth="1"/>
    <col min="7" max="7" width="17.85546875" style="175" customWidth="1"/>
    <col min="8" max="8" width="17.85546875" style="176" customWidth="1"/>
    <col min="9" max="9" width="3" style="176" customWidth="1"/>
    <col min="10" max="19" width="11" style="176" customWidth="1"/>
    <col min="20" max="16384" width="0" style="176" hidden="1"/>
  </cols>
  <sheetData>
    <row r="1" spans="1:19" s="131" customFormat="1" ht="30" x14ac:dyDescent="0.4">
      <c r="A1" s="125" t="str">
        <f ca="1" xml:space="preserve"> RIGHT(CELL("filename", $A$1), LEN(CELL("filename", $A$1)) - SEARCH("]", CELL("filename", $A$1)))</f>
        <v>Index</v>
      </c>
      <c r="B1" s="126"/>
      <c r="C1" s="127"/>
      <c r="D1" s="128"/>
      <c r="E1" s="128"/>
      <c r="F1" s="3" t="str">
        <f xml:space="preserve"> Inputs!$F$1</f>
        <v>2023-24</v>
      </c>
      <c r="G1" s="128"/>
      <c r="H1" s="129"/>
      <c r="I1" s="130"/>
      <c r="J1" s="130"/>
      <c r="K1" s="130"/>
      <c r="L1" s="130"/>
      <c r="M1" s="130"/>
      <c r="N1" s="130"/>
      <c r="O1" s="130"/>
      <c r="P1" s="130"/>
      <c r="Q1" s="130"/>
      <c r="R1" s="130"/>
      <c r="S1" s="130"/>
    </row>
    <row r="2" spans="1:19" s="138" customFormat="1" x14ac:dyDescent="0.2">
      <c r="A2" s="132"/>
      <c r="B2" s="133"/>
      <c r="C2" s="134"/>
      <c r="D2" s="135"/>
      <c r="E2" s="136" t="s">
        <v>204</v>
      </c>
      <c r="F2" s="136"/>
      <c r="G2" s="136"/>
      <c r="H2" s="137"/>
      <c r="I2" s="137"/>
      <c r="J2" s="137">
        <v>42460</v>
      </c>
      <c r="K2" s="137">
        <v>42825</v>
      </c>
      <c r="L2" s="137">
        <v>43190</v>
      </c>
      <c r="M2" s="137">
        <v>43555</v>
      </c>
      <c r="N2" s="137">
        <v>43921</v>
      </c>
      <c r="O2" s="137">
        <v>44286</v>
      </c>
      <c r="P2" s="137">
        <v>44651</v>
      </c>
      <c r="Q2" s="137">
        <v>45016</v>
      </c>
      <c r="R2" s="137">
        <v>45382</v>
      </c>
      <c r="S2" s="137">
        <v>45747</v>
      </c>
    </row>
    <row r="3" spans="1:19" s="141" customFormat="1" x14ac:dyDescent="0.2">
      <c r="A3" s="139"/>
      <c r="B3" s="133"/>
      <c r="C3" s="134"/>
      <c r="D3" s="135"/>
      <c r="E3" s="136" t="s">
        <v>205</v>
      </c>
      <c r="F3" s="136"/>
      <c r="G3" s="136"/>
      <c r="H3" s="137"/>
      <c r="I3" s="137"/>
      <c r="J3" s="140" t="s">
        <v>206</v>
      </c>
      <c r="K3" s="140" t="s">
        <v>206</v>
      </c>
      <c r="L3" s="140" t="s">
        <v>206</v>
      </c>
      <c r="M3" s="140" t="s">
        <v>206</v>
      </c>
      <c r="N3" s="140" t="s">
        <v>206</v>
      </c>
      <c r="O3" s="140" t="s">
        <v>207</v>
      </c>
      <c r="P3" s="140" t="s">
        <v>207</v>
      </c>
      <c r="Q3" s="140" t="s">
        <v>207</v>
      </c>
      <c r="R3" s="140" t="s">
        <v>207</v>
      </c>
      <c r="S3" s="140" t="s">
        <v>207</v>
      </c>
    </row>
    <row r="4" spans="1:19" s="145" customFormat="1" x14ac:dyDescent="0.2">
      <c r="A4" s="139"/>
      <c r="B4" s="133"/>
      <c r="C4" s="134"/>
      <c r="D4" s="135"/>
      <c r="E4" s="142" t="s">
        <v>208</v>
      </c>
      <c r="F4" s="142"/>
      <c r="G4" s="142"/>
      <c r="H4" s="143"/>
      <c r="I4" s="143"/>
      <c r="J4" s="144">
        <v>2016</v>
      </c>
      <c r="K4" s="144">
        <v>2017</v>
      </c>
      <c r="L4" s="144">
        <v>2018</v>
      </c>
      <c r="M4" s="144">
        <v>2019</v>
      </c>
      <c r="N4" s="144">
        <v>2020</v>
      </c>
      <c r="O4" s="144">
        <v>2021</v>
      </c>
      <c r="P4" s="144">
        <v>2022</v>
      </c>
      <c r="Q4" s="144">
        <v>2023</v>
      </c>
      <c r="R4" s="144">
        <v>2024</v>
      </c>
      <c r="S4" s="144">
        <v>2025</v>
      </c>
    </row>
    <row r="5" spans="1:19" s="147" customFormat="1" x14ac:dyDescent="0.2">
      <c r="A5" s="139"/>
      <c r="B5" s="133"/>
      <c r="C5" s="134"/>
      <c r="D5" s="135"/>
      <c r="E5" s="142" t="s">
        <v>209</v>
      </c>
      <c r="F5" s="139" t="s">
        <v>177</v>
      </c>
      <c r="G5" s="139" t="s">
        <v>150</v>
      </c>
      <c r="H5" s="141" t="s">
        <v>178</v>
      </c>
      <c r="I5" s="146"/>
      <c r="J5" s="146">
        <v>1</v>
      </c>
      <c r="K5" s="146">
        <v>2</v>
      </c>
      <c r="L5" s="146">
        <v>3</v>
      </c>
      <c r="M5" s="146">
        <v>4</v>
      </c>
      <c r="N5" s="146">
        <v>5</v>
      </c>
      <c r="O5" s="146">
        <v>6</v>
      </c>
      <c r="P5" s="146">
        <v>7</v>
      </c>
      <c r="Q5" s="146">
        <v>8</v>
      </c>
      <c r="R5" s="146">
        <v>9</v>
      </c>
      <c r="S5" s="146">
        <v>10</v>
      </c>
    </row>
    <row r="6" spans="1:19" s="148" customFormat="1" x14ac:dyDescent="0.2">
      <c r="B6" s="149"/>
      <c r="C6" s="150"/>
      <c r="D6" s="151"/>
      <c r="E6" s="152"/>
      <c r="I6" s="152"/>
      <c r="J6" s="152"/>
      <c r="K6" s="152"/>
      <c r="L6" s="152"/>
      <c r="M6" s="152"/>
      <c r="N6" s="152"/>
      <c r="O6" s="152"/>
      <c r="P6" s="152"/>
      <c r="Q6" s="152"/>
      <c r="R6" s="152"/>
      <c r="S6" s="152"/>
    </row>
    <row r="7" spans="1:19" s="148" customFormat="1" x14ac:dyDescent="0.2">
      <c r="B7" s="149"/>
      <c r="C7" s="150"/>
      <c r="D7" s="151"/>
      <c r="E7" s="152"/>
      <c r="I7" s="152"/>
      <c r="J7" s="152"/>
      <c r="K7" s="152"/>
      <c r="L7" s="152"/>
      <c r="M7" s="152"/>
      <c r="N7" s="152"/>
      <c r="O7" s="152"/>
      <c r="P7" s="152"/>
      <c r="Q7" s="152"/>
      <c r="R7" s="152"/>
      <c r="S7" s="152"/>
    </row>
    <row r="8" spans="1:19" s="153" customFormat="1" x14ac:dyDescent="0.2">
      <c r="B8" s="154"/>
      <c r="C8" s="154"/>
      <c r="E8" s="155" t="s">
        <v>210</v>
      </c>
      <c r="F8" s="156" t="str">
        <f xml:space="preserve"> Inputs!$F$1</f>
        <v>2023-24</v>
      </c>
      <c r="G8" s="155"/>
      <c r="H8" s="155"/>
      <c r="I8" s="155"/>
      <c r="L8" s="155"/>
      <c r="M8" s="155"/>
      <c r="N8" s="155"/>
      <c r="O8" s="155"/>
      <c r="P8" s="155"/>
      <c r="Q8" s="155"/>
      <c r="R8" s="155"/>
      <c r="S8" s="155"/>
    </row>
    <row r="9" spans="1:19" s="153" customFormat="1" x14ac:dyDescent="0.2">
      <c r="B9" s="154"/>
      <c r="C9" s="154"/>
      <c r="E9" s="155" t="s">
        <v>211</v>
      </c>
      <c r="F9" s="157">
        <f xml:space="preserve"> _xlfn.NUMBERVALUE(20 &amp; RIGHT($F$8,2))</f>
        <v>2024</v>
      </c>
      <c r="G9" s="155" t="s">
        <v>171</v>
      </c>
      <c r="H9" s="155"/>
      <c r="I9" s="155"/>
    </row>
    <row r="10" spans="1:19" s="148" customFormat="1" x14ac:dyDescent="0.2">
      <c r="B10" s="149"/>
      <c r="C10" s="150"/>
      <c r="D10" s="151"/>
      <c r="E10" s="152"/>
      <c r="I10" s="152"/>
      <c r="J10" s="152"/>
      <c r="K10" s="152"/>
      <c r="L10" s="152"/>
      <c r="M10" s="152"/>
      <c r="N10" s="152"/>
      <c r="O10" s="152"/>
      <c r="P10" s="152"/>
      <c r="Q10" s="152"/>
      <c r="R10" s="152"/>
      <c r="S10" s="152"/>
    </row>
    <row r="11" spans="1:19" s="1" customFormat="1" ht="13.5" x14ac:dyDescent="0.25">
      <c r="A11" s="1" t="s">
        <v>212</v>
      </c>
    </row>
    <row r="12" spans="1:19" s="162" customFormat="1" x14ac:dyDescent="0.2">
      <c r="A12" s="158"/>
      <c r="B12" s="159"/>
      <c r="C12" s="160"/>
      <c r="D12" s="161"/>
      <c r="H12" s="163"/>
    </row>
    <row r="13" spans="1:19" s="186" customFormat="1" x14ac:dyDescent="0.2">
      <c r="A13" s="181"/>
      <c r="B13" s="182"/>
      <c r="C13" s="182"/>
      <c r="D13" s="181"/>
      <c r="E13" s="183" t="s">
        <v>213</v>
      </c>
      <c r="F13" s="184"/>
      <c r="G13" s="183" t="s">
        <v>35</v>
      </c>
      <c r="H13" s="183"/>
      <c r="I13" s="183"/>
      <c r="J13" s="185">
        <v>100.3</v>
      </c>
      <c r="K13" s="185">
        <v>101.8</v>
      </c>
      <c r="L13" s="185">
        <v>104.7</v>
      </c>
      <c r="M13" s="185">
        <v>106.9</v>
      </c>
      <c r="N13" s="185">
        <v>108.5</v>
      </c>
      <c r="O13" s="185">
        <v>109.1</v>
      </c>
      <c r="P13" s="185">
        <v>114.1</v>
      </c>
      <c r="Q13" s="185">
        <v>124.8</v>
      </c>
      <c r="R13" s="185">
        <v>130</v>
      </c>
    </row>
    <row r="14" spans="1:19" s="153" customFormat="1" x14ac:dyDescent="0.2">
      <c r="B14" s="154"/>
      <c r="C14" s="154"/>
      <c r="E14" s="155"/>
      <c r="F14" s="164"/>
      <c r="G14" s="155"/>
      <c r="H14" s="155"/>
      <c r="I14" s="155"/>
      <c r="L14" s="155"/>
      <c r="M14" s="155"/>
      <c r="N14" s="155"/>
      <c r="O14" s="155"/>
      <c r="P14" s="155"/>
      <c r="Q14" s="155"/>
      <c r="R14" s="155"/>
      <c r="S14" s="155"/>
    </row>
    <row r="15" spans="1:19" s="153" customFormat="1" x14ac:dyDescent="0.2">
      <c r="B15" s="154" t="s">
        <v>214</v>
      </c>
      <c r="C15" s="154"/>
      <c r="E15" s="155"/>
      <c r="F15" s="164"/>
      <c r="G15" s="155"/>
      <c r="H15" s="155"/>
      <c r="I15" s="155"/>
      <c r="L15" s="155"/>
      <c r="M15" s="155"/>
      <c r="N15" s="155"/>
      <c r="O15" s="155"/>
      <c r="P15" s="155"/>
      <c r="Q15" s="155"/>
      <c r="R15" s="155"/>
      <c r="S15" s="155"/>
    </row>
    <row r="16" spans="1:19" s="153" customFormat="1" x14ac:dyDescent="0.2">
      <c r="B16" s="154"/>
      <c r="C16" s="154"/>
      <c r="E16" s="155" t="s">
        <v>215</v>
      </c>
      <c r="F16" s="164">
        <f xml:space="preserve"> $K$13</f>
        <v>101.8</v>
      </c>
      <c r="G16" s="155" t="s">
        <v>35</v>
      </c>
      <c r="H16" s="155"/>
      <c r="I16" s="155"/>
      <c r="L16" s="155"/>
      <c r="M16" s="155"/>
      <c r="N16" s="155"/>
      <c r="O16" s="155"/>
      <c r="P16" s="155"/>
      <c r="Q16" s="155"/>
      <c r="R16" s="155"/>
      <c r="S16" s="155"/>
    </row>
    <row r="17" spans="1:19" s="153" customFormat="1" x14ac:dyDescent="0.2">
      <c r="B17" s="154"/>
      <c r="C17" s="154"/>
      <c r="E17" s="155" t="s">
        <v>216</v>
      </c>
      <c r="F17" s="164"/>
      <c r="G17" s="155" t="s">
        <v>217</v>
      </c>
      <c r="H17" s="155"/>
      <c r="I17" s="155"/>
      <c r="J17" s="165">
        <f>IF(J$5&gt;2, 1,0)</f>
        <v>0</v>
      </c>
      <c r="K17" s="165">
        <f t="shared" ref="K17:S17" si="0">IF(K$5&gt;2, 1,0)</f>
        <v>0</v>
      </c>
      <c r="L17" s="165">
        <f t="shared" si="0"/>
        <v>1</v>
      </c>
      <c r="M17" s="165">
        <f t="shared" si="0"/>
        <v>1</v>
      </c>
      <c r="N17" s="165">
        <f t="shared" si="0"/>
        <v>1</v>
      </c>
      <c r="O17" s="165">
        <f t="shared" si="0"/>
        <v>1</v>
      </c>
      <c r="P17" s="165">
        <f t="shared" si="0"/>
        <v>1</v>
      </c>
      <c r="Q17" s="165">
        <f t="shared" si="0"/>
        <v>1</v>
      </c>
      <c r="R17" s="165">
        <f t="shared" si="0"/>
        <v>1</v>
      </c>
      <c r="S17" s="165">
        <f t="shared" si="0"/>
        <v>1</v>
      </c>
    </row>
    <row r="18" spans="1:19" s="181" customFormat="1" x14ac:dyDescent="0.2">
      <c r="B18" s="182"/>
      <c r="C18" s="182"/>
      <c r="E18" s="183" t="s">
        <v>218</v>
      </c>
      <c r="F18" s="184"/>
      <c r="G18" s="183" t="s">
        <v>35</v>
      </c>
      <c r="H18" s="183"/>
      <c r="I18" s="183"/>
      <c r="J18" s="181">
        <f t="shared" ref="J18:S18" si="1">IF(J$17=0,0,I$13)</f>
        <v>0</v>
      </c>
      <c r="K18" s="181">
        <f t="shared" si="1"/>
        <v>0</v>
      </c>
      <c r="L18" s="181">
        <f t="shared" si="1"/>
        <v>101.8</v>
      </c>
      <c r="M18" s="181">
        <f t="shared" si="1"/>
        <v>104.7</v>
      </c>
      <c r="N18" s="181">
        <f t="shared" si="1"/>
        <v>106.9</v>
      </c>
      <c r="O18" s="181">
        <f t="shared" si="1"/>
        <v>108.5</v>
      </c>
      <c r="P18" s="181">
        <f t="shared" si="1"/>
        <v>109.1</v>
      </c>
      <c r="Q18" s="181">
        <f t="shared" si="1"/>
        <v>114.1</v>
      </c>
      <c r="R18" s="181">
        <f t="shared" si="1"/>
        <v>124.8</v>
      </c>
      <c r="S18" s="181">
        <f t="shared" si="1"/>
        <v>130</v>
      </c>
    </row>
    <row r="19" spans="1:19" s="153" customFormat="1" x14ac:dyDescent="0.2">
      <c r="B19" s="154"/>
      <c r="C19" s="154"/>
      <c r="E19" s="155" t="s">
        <v>219</v>
      </c>
      <c r="F19" s="164"/>
      <c r="G19" s="155" t="s">
        <v>220</v>
      </c>
      <c r="H19" s="155"/>
      <c r="I19" s="155"/>
      <c r="J19" s="166">
        <f t="shared" ref="J19:S19" si="2" xml:space="preserve"> (J18 / $F$16) * J17</f>
        <v>0</v>
      </c>
      <c r="K19" s="166">
        <f t="shared" si="2"/>
        <v>0</v>
      </c>
      <c r="L19" s="166">
        <f t="shared" si="2"/>
        <v>1</v>
      </c>
      <c r="M19" s="166">
        <f t="shared" si="2"/>
        <v>1.0284872298624754</v>
      </c>
      <c r="N19" s="166">
        <f t="shared" si="2"/>
        <v>1.0500982318271121</v>
      </c>
      <c r="O19" s="166">
        <f t="shared" si="2"/>
        <v>1.0658153241650294</v>
      </c>
      <c r="P19" s="166">
        <f t="shared" si="2"/>
        <v>1.0717092337917484</v>
      </c>
      <c r="Q19" s="166">
        <f t="shared" si="2"/>
        <v>1.1208251473477406</v>
      </c>
      <c r="R19" s="166">
        <f t="shared" si="2"/>
        <v>1.2259332023575638</v>
      </c>
      <c r="S19" s="166">
        <f t="shared" si="2"/>
        <v>1.2770137524557956</v>
      </c>
    </row>
    <row r="20" spans="1:19" s="153" customFormat="1" x14ac:dyDescent="0.2">
      <c r="B20" s="154"/>
      <c r="C20" s="154"/>
      <c r="E20" s="155"/>
      <c r="F20" s="164"/>
      <c r="G20" s="155"/>
      <c r="H20" s="155"/>
      <c r="I20" s="155"/>
      <c r="J20" s="166"/>
      <c r="K20" s="166"/>
      <c r="L20" s="166"/>
      <c r="M20" s="166"/>
      <c r="N20" s="166"/>
      <c r="O20" s="166"/>
      <c r="P20" s="166"/>
      <c r="Q20" s="166"/>
      <c r="R20" s="166"/>
      <c r="S20" s="166"/>
    </row>
    <row r="21" spans="1:19" s="153" customFormat="1" x14ac:dyDescent="0.2">
      <c r="B21" s="154"/>
      <c r="C21" s="154"/>
      <c r="E21" s="155" t="str">
        <f>E$19</f>
        <v>CPIH: Nov - Nov index (prior year) inflating from 2017-18</v>
      </c>
      <c r="F21" s="164"/>
      <c r="G21" s="155" t="str">
        <f>G$19</f>
        <v>Factor</v>
      </c>
      <c r="H21" s="155"/>
      <c r="I21" s="155"/>
      <c r="J21" s="166">
        <f t="shared" ref="J21:S21" si="3">J$19</f>
        <v>0</v>
      </c>
      <c r="K21" s="166">
        <f t="shared" si="3"/>
        <v>0</v>
      </c>
      <c r="L21" s="166">
        <f t="shared" si="3"/>
        <v>1</v>
      </c>
      <c r="M21" s="166">
        <f t="shared" si="3"/>
        <v>1.0284872298624754</v>
      </c>
      <c r="N21" s="166">
        <f t="shared" si="3"/>
        <v>1.0500982318271121</v>
      </c>
      <c r="O21" s="166">
        <f t="shared" si="3"/>
        <v>1.0658153241650294</v>
      </c>
      <c r="P21" s="166">
        <f t="shared" si="3"/>
        <v>1.0717092337917484</v>
      </c>
      <c r="Q21" s="166">
        <f t="shared" si="3"/>
        <v>1.1208251473477406</v>
      </c>
      <c r="R21" s="166">
        <f t="shared" si="3"/>
        <v>1.2259332023575638</v>
      </c>
      <c r="S21" s="166">
        <f t="shared" si="3"/>
        <v>1.2770137524557956</v>
      </c>
    </row>
    <row r="22" spans="1:19" s="153" customFormat="1" x14ac:dyDescent="0.2">
      <c r="B22" s="154"/>
      <c r="C22" s="154"/>
      <c r="E22" s="155" t="str">
        <f xml:space="preserve"> E$9</f>
        <v>Report year financial year ending</v>
      </c>
      <c r="F22" s="157">
        <f t="shared" ref="F22:G22" si="4" xml:space="preserve"> F$9</f>
        <v>2024</v>
      </c>
      <c r="G22" s="155" t="str">
        <f t="shared" si="4"/>
        <v>Number</v>
      </c>
      <c r="H22" s="155"/>
      <c r="I22" s="155"/>
    </row>
    <row r="23" spans="1:19" s="167" customFormat="1" x14ac:dyDescent="0.2">
      <c r="B23" s="168"/>
      <c r="C23" s="168"/>
      <c r="E23" s="169" t="str">
        <f xml:space="preserve"> "Adjust from 2017-18 to report year (year ending " &amp; $F$22 &amp; ")"</f>
        <v>Adjust from 2017-18 to report year (year ending 2024)</v>
      </c>
      <c r="F23" s="170">
        <f xml:space="preserve"> INDEX(J21:S21, MATCH(F22,$J$4:$S$4))</f>
        <v>1.2259332023575638</v>
      </c>
      <c r="G23" s="169" t="s">
        <v>220</v>
      </c>
      <c r="H23" s="169"/>
      <c r="I23" s="169"/>
      <c r="J23" s="171"/>
      <c r="K23" s="171"/>
      <c r="L23" s="171"/>
      <c r="M23" s="171"/>
      <c r="N23" s="171"/>
      <c r="O23" s="171"/>
      <c r="P23" s="171"/>
      <c r="Q23" s="171"/>
      <c r="R23" s="171"/>
      <c r="S23" s="171"/>
    </row>
    <row r="24" spans="1:19" s="153" customFormat="1" x14ac:dyDescent="0.2">
      <c r="B24" s="154"/>
      <c r="C24" s="154"/>
    </row>
    <row r="25" spans="1:19" s="2" customFormat="1" ht="13.5" x14ac:dyDescent="0.25">
      <c r="A25" s="2" t="s">
        <v>221</v>
      </c>
    </row>
    <row r="26" spans="1:19" ht="12.75" customHeight="1" x14ac:dyDescent="0.2"/>
    <row r="27" spans="1:19" ht="12.75" customHeight="1" x14ac:dyDescent="0.2"/>
    <row r="28" spans="1:19" ht="12.75" customHeight="1" x14ac:dyDescent="0.2"/>
    <row r="29" spans="1:19" ht="12.75" customHeight="1" x14ac:dyDescent="0.2"/>
    <row r="30" spans="1:19" ht="12.75" customHeight="1" x14ac:dyDescent="0.2"/>
    <row r="31" spans="1:19" ht="12.75" customHeight="1" x14ac:dyDescent="0.2"/>
    <row r="32" spans="1:19"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conditionalFormatting sqref="J3:S3">
    <cfRule type="cellIs" dxfId="2" priority="1" operator="equal">
      <formula>"Post-Fcst"</formula>
    </cfRule>
    <cfRule type="cellIs" dxfId="1" priority="2" operator="equal">
      <formula>"Forecast"</formula>
    </cfRule>
    <cfRule type="cellIs" dxfId="0" priority="3" operator="equal">
      <formula>"Pre Fcst"</formula>
    </cfRule>
  </conditionalFormatting>
  <pageMargins left="0.70866141732283472" right="0.70866141732283472" top="0.74803149606299213" bottom="0.74803149606299213" header="0.31496062992125984" footer="0.31496062992125984"/>
  <pageSetup paperSize="8" scale="86" fitToHeight="0" orientation="landscape" r:id="rId1"/>
  <headerFooter>
    <oddHeader>&amp;L&amp;F&amp;CSheet: &amp;A&amp;ROFFICIAL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5e05205-f2e1-4168-9176-3cea1311c638"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SharedWithUsers xmlns="05c3d349-d7b5-4b99-a759-edf8a89fca8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3" ma:contentTypeDescription="Create a new document." ma:contentTypeScope="" ma:versionID="b51955f97c6b3ad64a0833e6f2d332df">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006d2c111d91b55fc432c3d8d736f2e7"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C70C5-A66B-44A4-95FB-16B1373ED600}">
  <ds:schemaRefs>
    <ds:schemaRef ds:uri="http://schemas.microsoft.com/sharepoint/v3/contenttype/forms"/>
  </ds:schemaRefs>
</ds:datastoreItem>
</file>

<file path=customXml/itemProps2.xml><?xml version="1.0" encoding="utf-8"?>
<ds:datastoreItem xmlns:ds="http://schemas.openxmlformats.org/officeDocument/2006/customXml" ds:itemID="{51B296E7-1CCC-42BF-A208-F3C5C030D909}">
  <ds:schemaRefs>
    <ds:schemaRef ds:uri="http://schemas.openxmlformats.org/package/2006/metadata/core-properties"/>
    <ds:schemaRef ds:uri="http://purl.org/dc/dcmitype/"/>
    <ds:schemaRef ds:uri="http://www.w3.org/XML/1998/namespace"/>
    <ds:schemaRef ds:uri="http://purl.org/dc/elements/1.1/"/>
    <ds:schemaRef ds:uri="http://purl.org/dc/terms/"/>
    <ds:schemaRef ds:uri="http://schemas.microsoft.com/office/infopath/2007/PartnerControls"/>
    <ds:schemaRef ds:uri="75e05205-f2e1-4168-9176-3cea1311c638"/>
    <ds:schemaRef ds:uri="http://schemas.microsoft.com/office/2006/documentManagement/types"/>
    <ds:schemaRef ds:uri="05c3d349-d7b5-4b99-a759-edf8a89fca83"/>
    <ds:schemaRef ds:uri="2e9523b9-9c37-4c05-b1eb-7b6f416249bb"/>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D99DDEB0-F9CF-4C24-95CD-8DBE2E0DD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Cover</vt:lpstr>
      <vt:lpstr>ToC</vt:lpstr>
      <vt:lpstr>Model formatting</vt:lpstr>
      <vt:lpstr>Validation</vt:lpstr>
      <vt:lpstr>F_Inputs</vt:lpstr>
      <vt:lpstr>InpOverride</vt:lpstr>
      <vt:lpstr>InpActive</vt:lpstr>
      <vt:lpstr>Inputs</vt:lpstr>
      <vt:lpstr>Index</vt:lpstr>
      <vt:lpstr>Payment rates</vt:lpstr>
      <vt:lpstr>Performance payments</vt:lpstr>
      <vt:lpstr>Outputs</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2024-12-10T17:36:31Z</dcterms:created>
  <dcterms:modified xsi:type="dcterms:W3CDTF">2025-07-16T12:16:13Z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0x01010056CA1FEDC0F04146B2629EDF721CF670</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